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fr\LiST countries\"/>
    </mc:Choice>
  </mc:AlternateContent>
  <xr:revisionPtr revIDLastSave="0" documentId="8_{CB4A4F0E-A628-4FD0-8507-D86FFC26562A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C19" i="26"/>
  <c r="E17" i="26"/>
  <c r="C17" i="26"/>
  <c r="F12" i="26"/>
  <c r="C12" i="26"/>
  <c r="C10" i="26"/>
  <c r="G5" i="26"/>
  <c r="G19" i="26" s="1"/>
  <c r="F5" i="26"/>
  <c r="F19" i="26" s="1"/>
  <c r="E5" i="26"/>
  <c r="E12" i="26" s="1"/>
  <c r="D5" i="26"/>
  <c r="D12" i="26" s="1"/>
  <c r="G3" i="26"/>
  <c r="G10" i="26" s="1"/>
  <c r="F3" i="26"/>
  <c r="F17" i="26" s="1"/>
  <c r="E3" i="26"/>
  <c r="E10" i="26" s="1"/>
  <c r="D3" i="26"/>
  <c r="D17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H39" i="2"/>
  <c r="I39" i="2" s="1"/>
  <c r="G39" i="2"/>
  <c r="H38" i="2"/>
  <c r="I38" i="2" s="1"/>
  <c r="G38" i="2"/>
  <c r="A37" i="2"/>
  <c r="A19" i="2"/>
  <c r="A17" i="2"/>
  <c r="H11" i="2"/>
  <c r="G11" i="2"/>
  <c r="I11" i="2" s="1"/>
  <c r="H10" i="2"/>
  <c r="G10" i="2"/>
  <c r="I10" i="2" s="1"/>
  <c r="H9" i="2"/>
  <c r="G9" i="2"/>
  <c r="I9" i="2" s="1"/>
  <c r="H8" i="2"/>
  <c r="G8" i="2"/>
  <c r="H7" i="2"/>
  <c r="G7" i="2"/>
  <c r="I7" i="2" s="1"/>
  <c r="H6" i="2"/>
  <c r="G6" i="2"/>
  <c r="I6" i="2" s="1"/>
  <c r="H5" i="2"/>
  <c r="G5" i="2"/>
  <c r="I5" i="2" s="1"/>
  <c r="H4" i="2"/>
  <c r="G4" i="2"/>
  <c r="H3" i="2"/>
  <c r="G3" i="2"/>
  <c r="I3" i="2" s="1"/>
  <c r="H2" i="2"/>
  <c r="G2" i="2"/>
  <c r="I2" i="2" s="1"/>
  <c r="A2" i="2"/>
  <c r="A36" i="2" s="1"/>
  <c r="C33" i="1"/>
  <c r="C20" i="1"/>
  <c r="A21" i="2" l="1"/>
  <c r="G17" i="26"/>
  <c r="A25" i="2"/>
  <c r="D19" i="26"/>
  <c r="A27" i="2"/>
  <c r="A29" i="2"/>
  <c r="A33" i="2"/>
  <c r="I4" i="2"/>
  <c r="I8" i="2"/>
  <c r="A13" i="2"/>
  <c r="A35" i="2"/>
  <c r="A14" i="2"/>
  <c r="A22" i="2"/>
  <c r="A30" i="2"/>
  <c r="A38" i="2"/>
  <c r="A40" i="2"/>
  <c r="D10" i="26"/>
  <c r="G12" i="26"/>
  <c r="E19" i="26"/>
  <c r="A15" i="2"/>
  <c r="A23" i="2"/>
  <c r="A31" i="2"/>
  <c r="A3" i="2"/>
  <c r="A16" i="2"/>
  <c r="A24" i="2"/>
  <c r="A32" i="2"/>
  <c r="F10" i="26"/>
  <c r="A18" i="2"/>
  <c r="A26" i="2"/>
  <c r="A34" i="2"/>
  <c r="A39" i="2"/>
  <c r="A4" i="2"/>
  <c r="A5" i="2" s="1"/>
  <c r="A6" i="2" s="1"/>
  <c r="A7" i="2" s="1"/>
  <c r="A8" i="2" s="1"/>
  <c r="A9" i="2" s="1"/>
  <c r="A10" i="2" s="1"/>
  <c r="A11" i="2" s="1"/>
  <c r="A12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<sst xmlns="http://schemas.openxmlformats.org/spreadsheetml/2006/main" count="2092" uniqueCount="337">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</sst>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13</v>
      </c>
      <c r="B1" s="29" t="s">
        <v>0</v>
      </c>
      <c r="C1" s="29" t="s">
        <v>66</v>
      </c>
    </row>
    <row r="2" spans="1:3" ht="15.9" customHeight="1" x14ac:dyDescent="0.3">
      <c r="A2" s="8" t="s">
        <v>14</v>
      </c>
      <c r="B2" s="29"/>
      <c r="C2" s="29"/>
    </row>
    <row r="3" spans="1:3" ht="15.9" customHeight="1" x14ac:dyDescent="0.3">
      <c r="A3" s="1"/>
      <c r="B3" s="5" t="s">
        <v>15</v>
      </c>
      <c r="C3" s="41">
        <v>2021</v>
      </c>
    </row>
    <row r="4" spans="1:3" ht="15.9" customHeight="1" x14ac:dyDescent="0.3">
      <c r="A4" s="1"/>
      <c r="B4" s="5" t="s">
        <v>16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17</v>
      </c>
    </row>
    <row r="7" spans="1:3" ht="15" customHeight="1" x14ac:dyDescent="0.25">
      <c r="B7" s="11" t="s">
        <v>18</v>
      </c>
      <c r="C7" s="43">
        <v>323342.7265625</v>
      </c>
    </row>
    <row r="8" spans="1:3" ht="15" customHeight="1" x14ac:dyDescent="0.25">
      <c r="B8" s="5" t="s">
        <v>19</v>
      </c>
      <c r="C8" s="44">
        <v>1.4E-2</v>
      </c>
    </row>
    <row r="9" spans="1:3" ht="15" customHeight="1" x14ac:dyDescent="0.25">
      <c r="B9" s="5" t="s">
        <v>20</v>
      </c>
      <c r="C9" s="45">
        <v>0.01</v>
      </c>
    </row>
    <row r="10" spans="1:3" ht="15" customHeight="1" x14ac:dyDescent="0.25">
      <c r="B10" s="5" t="s">
        <v>21</v>
      </c>
      <c r="C10" s="45">
        <v>0.33406288146972701</v>
      </c>
    </row>
    <row r="11" spans="1:3" ht="15" customHeight="1" x14ac:dyDescent="0.25">
      <c r="B11" s="5" t="s">
        <v>22</v>
      </c>
      <c r="C11" s="45">
        <v>0.442</v>
      </c>
    </row>
    <row r="12" spans="1:3" ht="15" customHeight="1" x14ac:dyDescent="0.25">
      <c r="B12" s="5" t="s">
        <v>23</v>
      </c>
      <c r="C12" s="45">
        <v>0.44</v>
      </c>
    </row>
    <row r="13" spans="1:3" ht="15" customHeight="1" x14ac:dyDescent="0.25">
      <c r="B13" s="5" t="s">
        <v>24</v>
      </c>
      <c r="C13" s="45">
        <v>0.68900000000000006</v>
      </c>
    </row>
    <row r="14" spans="1:3" ht="15" customHeight="1" x14ac:dyDescent="0.25">
      <c r="B14" s="8"/>
    </row>
    <row r="15" spans="1:3" ht="15" customHeight="1" x14ac:dyDescent="0.3">
      <c r="A15" s="8" t="s">
        <v>25</v>
      </c>
      <c r="B15" s="14"/>
      <c r="C15" s="3"/>
    </row>
    <row r="16" spans="1:3" ht="15" customHeight="1" x14ac:dyDescent="0.25">
      <c r="B16" s="5" t="s">
        <v>26</v>
      </c>
      <c r="C16" s="45">
        <v>0.1</v>
      </c>
    </row>
    <row r="17" spans="1:3" ht="15" customHeight="1" x14ac:dyDescent="0.25">
      <c r="B17" s="5" t="s">
        <v>27</v>
      </c>
      <c r="C17" s="45">
        <v>0.7</v>
      </c>
    </row>
    <row r="18" spans="1:3" ht="15" customHeight="1" x14ac:dyDescent="0.25">
      <c r="B18" s="5" t="s">
        <v>28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30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31</v>
      </c>
    </row>
    <row r="23" spans="1:3" ht="15" customHeight="1" x14ac:dyDescent="0.25">
      <c r="B23" s="15" t="s">
        <v>32</v>
      </c>
      <c r="C23" s="45">
        <v>0.13689999999999999</v>
      </c>
    </row>
    <row r="24" spans="1:3" ht="15" customHeight="1" x14ac:dyDescent="0.25">
      <c r="B24" s="15" t="s">
        <v>33</v>
      </c>
      <c r="C24" s="45">
        <v>0.45260000000000011</v>
      </c>
    </row>
    <row r="25" spans="1:3" ht="15" customHeight="1" x14ac:dyDescent="0.25">
      <c r="B25" s="15" t="s">
        <v>34</v>
      </c>
      <c r="C25" s="45">
        <v>0.30809999999999998</v>
      </c>
    </row>
    <row r="26" spans="1:3" ht="15" customHeight="1" x14ac:dyDescent="0.25">
      <c r="B26" s="15" t="s">
        <v>35</v>
      </c>
      <c r="C26" s="45">
        <v>0.1024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36</v>
      </c>
      <c r="B28" s="15"/>
      <c r="C28" s="15"/>
    </row>
    <row r="29" spans="1:3" ht="14.25" customHeight="1" x14ac:dyDescent="0.25">
      <c r="B29" s="25" t="s">
        <v>37</v>
      </c>
      <c r="C29" s="45">
        <v>0.35675533525383901</v>
      </c>
    </row>
    <row r="30" spans="1:3" ht="14.25" customHeight="1" x14ac:dyDescent="0.25">
      <c r="B30" s="25" t="s">
        <v>38</v>
      </c>
      <c r="C30" s="99">
        <v>6.5910586704521698E-2</v>
      </c>
    </row>
    <row r="31" spans="1:3" ht="14.25" customHeight="1" x14ac:dyDescent="0.25">
      <c r="B31" s="25" t="s">
        <v>39</v>
      </c>
      <c r="C31" s="99">
        <v>9.262041217609189E-2</v>
      </c>
    </row>
    <row r="32" spans="1:3" ht="14.25" customHeight="1" x14ac:dyDescent="0.25">
      <c r="B32" s="25" t="s">
        <v>40</v>
      </c>
      <c r="C32" s="99">
        <v>0.48471366586554798</v>
      </c>
    </row>
    <row r="33" spans="1:5" ht="13" customHeight="1" x14ac:dyDescent="0.25">
      <c r="B33" s="27" t="s">
        <v>41</v>
      </c>
      <c r="C33" s="48">
        <f>SUM(C29:C32)</f>
        <v>1.0000000000000004</v>
      </c>
    </row>
    <row r="34" spans="1:5" ht="15" customHeight="1" x14ac:dyDescent="0.25"/>
    <row r="35" spans="1:5" ht="15" customHeight="1" x14ac:dyDescent="0.3">
      <c r="A35" s="4" t="s">
        <v>42</v>
      </c>
    </row>
    <row r="36" spans="1:5" ht="15" customHeight="1" x14ac:dyDescent="0.25">
      <c r="A36" s="8" t="s">
        <v>43</v>
      </c>
      <c r="B36" s="5"/>
    </row>
    <row r="37" spans="1:5" ht="15" customHeight="1" x14ac:dyDescent="0.25">
      <c r="B37" s="11" t="s">
        <v>44</v>
      </c>
      <c r="C37" s="43">
        <v>6.1573833137445604</v>
      </c>
    </row>
    <row r="38" spans="1:5" ht="15" customHeight="1" x14ac:dyDescent="0.25">
      <c r="B38" s="11" t="s">
        <v>45</v>
      </c>
      <c r="C38" s="43">
        <v>7.5435707882581999</v>
      </c>
      <c r="D38" s="12"/>
      <c r="E38" s="13"/>
    </row>
    <row r="39" spans="1:5" ht="15" customHeight="1" x14ac:dyDescent="0.25">
      <c r="B39" s="11" t="s">
        <v>46</v>
      </c>
      <c r="C39" s="43">
        <v>8.6192212346124695</v>
      </c>
      <c r="D39" s="12"/>
      <c r="E39" s="12"/>
    </row>
    <row r="40" spans="1:5" ht="15" customHeight="1" x14ac:dyDescent="0.25">
      <c r="B40" s="11" t="s">
        <v>47</v>
      </c>
      <c r="C40" s="100">
        <v>0.27</v>
      </c>
    </row>
    <row r="41" spans="1:5" ht="15" customHeight="1" x14ac:dyDescent="0.25">
      <c r="B41" s="11" t="s">
        <v>48</v>
      </c>
      <c r="C41" s="45">
        <v>0.12</v>
      </c>
    </row>
    <row r="42" spans="1:5" ht="15" customHeight="1" x14ac:dyDescent="0.25">
      <c r="B42" s="11" t="s">
        <v>49</v>
      </c>
      <c r="C42" s="43">
        <v>4.4836800459999999</v>
      </c>
    </row>
    <row r="43" spans="1:5" ht="15.75" customHeight="1" x14ac:dyDescent="0.25">
      <c r="D43" s="12"/>
    </row>
    <row r="44" spans="1:5" ht="15.75" customHeight="1" x14ac:dyDescent="0.25">
      <c r="A44" s="8" t="s">
        <v>50</v>
      </c>
      <c r="D44" s="12"/>
    </row>
    <row r="45" spans="1:5" ht="15.75" customHeight="1" x14ac:dyDescent="0.25">
      <c r="B45" s="11" t="s">
        <v>51</v>
      </c>
      <c r="C45" s="45">
        <v>7.6683000000000003E-3</v>
      </c>
      <c r="D45" s="12"/>
    </row>
    <row r="46" spans="1:5" ht="15.75" customHeight="1" x14ac:dyDescent="0.25">
      <c r="B46" s="11" t="s">
        <v>52</v>
      </c>
      <c r="C46" s="45">
        <v>7.7032299999999998E-2</v>
      </c>
      <c r="D46" s="12"/>
    </row>
    <row r="47" spans="1:5" ht="15.75" customHeight="1" x14ac:dyDescent="0.25">
      <c r="B47" s="11" t="s">
        <v>53</v>
      </c>
      <c r="C47" s="45">
        <v>5.80098E-2</v>
      </c>
      <c r="D47" s="12"/>
      <c r="E47" s="13"/>
    </row>
    <row r="48" spans="1:5" ht="15" customHeight="1" x14ac:dyDescent="0.25">
      <c r="B48" s="11" t="s">
        <v>54</v>
      </c>
      <c r="C48" s="46">
        <v>0.85728959999999998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55</v>
      </c>
      <c r="D50" s="12"/>
    </row>
    <row r="51" spans="1:4" ht="15.75" customHeight="1" x14ac:dyDescent="0.25">
      <c r="B51" s="11" t="s">
        <v>56</v>
      </c>
      <c r="C51" s="100">
        <v>3.2</v>
      </c>
      <c r="D51" s="12"/>
    </row>
    <row r="52" spans="1:4" ht="15" customHeight="1" x14ac:dyDescent="0.25">
      <c r="B52" s="11" t="s">
        <v>57</v>
      </c>
      <c r="C52" s="100">
        <v>3.2</v>
      </c>
    </row>
    <row r="53" spans="1:4" ht="15.75" customHeight="1" x14ac:dyDescent="0.25">
      <c r="B53" s="11" t="s">
        <v>58</v>
      </c>
      <c r="C53" s="100">
        <v>3.2</v>
      </c>
    </row>
    <row r="54" spans="1:4" ht="15.75" customHeight="1" x14ac:dyDescent="0.25">
      <c r="B54" s="11" t="s">
        <v>59</v>
      </c>
      <c r="C54" s="100">
        <v>3.2</v>
      </c>
    </row>
    <row r="55" spans="1:4" ht="15.75" customHeight="1" x14ac:dyDescent="0.25">
      <c r="B55" s="11" t="s">
        <v>60</v>
      </c>
      <c r="C55" s="100">
        <v>3.2</v>
      </c>
    </row>
    <row r="57" spans="1:4" ht="15.75" customHeight="1" x14ac:dyDescent="0.25">
      <c r="A57" s="8" t="s">
        <v>61</v>
      </c>
    </row>
    <row r="58" spans="1:4" ht="15.75" customHeight="1" x14ac:dyDescent="0.25">
      <c r="B58" s="5" t="s">
        <v>62</v>
      </c>
      <c r="C58" s="45">
        <v>1.9375E-2</v>
      </c>
    </row>
    <row r="59" spans="1:4" ht="15.75" customHeight="1" x14ac:dyDescent="0.25">
      <c r="B59" s="11" t="s">
        <v>63</v>
      </c>
      <c r="C59" s="45">
        <v>0.54813400000000001</v>
      </c>
    </row>
    <row r="60" spans="1:4" ht="15.75" customHeight="1" x14ac:dyDescent="0.25">
      <c r="B60" s="11" t="s">
        <v>64</v>
      </c>
      <c r="C60" s="45">
        <v>4.5999999999999999E-2</v>
      </c>
    </row>
    <row r="61" spans="1:4" ht="15.75" customHeight="1" x14ac:dyDescent="0.25">
      <c r="B61" s="11" t="s">
        <v>65</v>
      </c>
      <c r="C61" s="45">
        <v>1.4E-2</v>
      </c>
    </row>
    <row r="62" spans="1:4" ht="15.75" customHeight="1" x14ac:dyDescent="0.25">
      <c r="B62" s="11" t="s">
        <v>67</v>
      </c>
      <c r="C62" s="44">
        <v>0.15460177999999999</v>
      </c>
    </row>
    <row r="63" spans="1:4" ht="15.75" customHeight="1" x14ac:dyDescent="0.3">
      <c r="A63" s="4"/>
    </row>
  </sheetData>
  <sheetProtection algorithmName="SHA-512" hashValue="c4UfCBv8mb3F41f29JccSBzMJ2EY4R8K/M3JoWiZOsxjfTF7lYHVDoGrb7G94GfKM/3WV5FqsOZqGj2ZGQm3Vg==" saltValue="932ibZfrz6MyhCf1J+yTK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5">
      <c r="A2" s="5">
        <f>start_year</f>
        <v>2021</v>
      </c>
      <c r="B2" s="49">
        <v>947978.11120000004</v>
      </c>
      <c r="C2" s="49">
        <v>1430000</v>
      </c>
      <c r="D2" s="49">
        <v>2324000</v>
      </c>
      <c r="E2" s="49">
        <v>1586000</v>
      </c>
      <c r="F2" s="49">
        <v>1083000</v>
      </c>
      <c r="G2" s="17">
        <f t="shared" ref="G2:G11" si="0">C2+D2+E2+F2</f>
        <v>6423000</v>
      </c>
      <c r="H2" s="17">
        <f t="shared" ref="H2:H11" si="1">(B2 + stillbirth*B2/(1000-stillbirth))/(1-abortion)</f>
        <v>1082099.6422099241</v>
      </c>
      <c r="I2" s="17">
        <f t="shared" ref="I2:I11" si="2">G2-H2</f>
        <v>5340900.3577900762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962754.47639999993</v>
      </c>
      <c r="C3" s="50">
        <v>1458000</v>
      </c>
      <c r="D3" s="50">
        <v>2389000</v>
      </c>
      <c r="E3" s="50">
        <v>1636000</v>
      </c>
      <c r="F3" s="50">
        <v>1120000</v>
      </c>
      <c r="G3" s="17">
        <f t="shared" si="0"/>
        <v>6603000</v>
      </c>
      <c r="H3" s="17">
        <f t="shared" si="1"/>
        <v>1098966.5923084265</v>
      </c>
      <c r="I3" s="17">
        <f t="shared" si="2"/>
        <v>5504033.4076915737</v>
      </c>
    </row>
    <row r="4" spans="1:9" ht="15.75" customHeight="1" x14ac:dyDescent="0.25">
      <c r="A4" s="5">
        <f t="shared" si="3"/>
        <v>2023</v>
      </c>
      <c r="B4" s="49">
        <v>977582.85240000009</v>
      </c>
      <c r="C4" s="50">
        <v>1488000</v>
      </c>
      <c r="D4" s="50">
        <v>2454000</v>
      </c>
      <c r="E4" s="50">
        <v>1690000</v>
      </c>
      <c r="F4" s="50">
        <v>1157000</v>
      </c>
      <c r="G4" s="17">
        <f t="shared" si="0"/>
        <v>6789000</v>
      </c>
      <c r="H4" s="17">
        <f t="shared" si="1"/>
        <v>1115892.91178203</v>
      </c>
      <c r="I4" s="17">
        <f t="shared" si="2"/>
        <v>5673107.08821797</v>
      </c>
    </row>
    <row r="5" spans="1:9" ht="15.75" customHeight="1" x14ac:dyDescent="0.25">
      <c r="A5" s="5">
        <f t="shared" si="3"/>
        <v>2024</v>
      </c>
      <c r="B5" s="49">
        <v>992449.64800000016</v>
      </c>
      <c r="C5" s="50">
        <v>1520000</v>
      </c>
      <c r="D5" s="50">
        <v>2517000</v>
      </c>
      <c r="E5" s="50">
        <v>1747000</v>
      </c>
      <c r="F5" s="50">
        <v>1193000</v>
      </c>
      <c r="G5" s="17">
        <f t="shared" si="0"/>
        <v>6977000</v>
      </c>
      <c r="H5" s="17">
        <f t="shared" si="1"/>
        <v>1132863.0865249932</v>
      </c>
      <c r="I5" s="17">
        <f t="shared" si="2"/>
        <v>5844136.9134750068</v>
      </c>
    </row>
    <row r="6" spans="1:9" ht="15.75" customHeight="1" x14ac:dyDescent="0.25">
      <c r="A6" s="5">
        <f t="shared" si="3"/>
        <v>2025</v>
      </c>
      <c r="B6" s="49">
        <v>1007307.231</v>
      </c>
      <c r="C6" s="50">
        <v>1555000</v>
      </c>
      <c r="D6" s="50">
        <v>2578000</v>
      </c>
      <c r="E6" s="50">
        <v>1808000</v>
      </c>
      <c r="F6" s="50">
        <v>1231000</v>
      </c>
      <c r="G6" s="17">
        <f t="shared" si="0"/>
        <v>7172000</v>
      </c>
      <c r="H6" s="17">
        <f t="shared" si="1"/>
        <v>1149822.7452538772</v>
      </c>
      <c r="I6" s="17">
        <f t="shared" si="2"/>
        <v>6022177.2547461223</v>
      </c>
    </row>
    <row r="7" spans="1:9" ht="15.75" customHeight="1" x14ac:dyDescent="0.25">
      <c r="A7" s="5">
        <f t="shared" si="3"/>
        <v>2026</v>
      </c>
      <c r="B7" s="49">
        <v>1022412.4036</v>
      </c>
      <c r="C7" s="50">
        <v>1591000</v>
      </c>
      <c r="D7" s="50">
        <v>2637000</v>
      </c>
      <c r="E7" s="50">
        <v>1870000</v>
      </c>
      <c r="F7" s="50">
        <v>1269000</v>
      </c>
      <c r="G7" s="17">
        <f t="shared" si="0"/>
        <v>7367000</v>
      </c>
      <c r="H7" s="17">
        <f t="shared" si="1"/>
        <v>1167065.0229740751</v>
      </c>
      <c r="I7" s="17">
        <f t="shared" si="2"/>
        <v>6199934.9770259252</v>
      </c>
    </row>
    <row r="8" spans="1:9" ht="15.75" customHeight="1" x14ac:dyDescent="0.25">
      <c r="A8" s="5">
        <f t="shared" si="3"/>
        <v>2027</v>
      </c>
      <c r="B8" s="49">
        <v>1037498.49</v>
      </c>
      <c r="C8" s="50">
        <v>1631000</v>
      </c>
      <c r="D8" s="50">
        <v>2694000</v>
      </c>
      <c r="E8" s="50">
        <v>1937000</v>
      </c>
      <c r="F8" s="50">
        <v>1305000</v>
      </c>
      <c r="G8" s="17">
        <f t="shared" si="0"/>
        <v>7567000</v>
      </c>
      <c r="H8" s="17">
        <f t="shared" si="1"/>
        <v>1184285.5141467284</v>
      </c>
      <c r="I8" s="17">
        <f t="shared" si="2"/>
        <v>6382714.4858532716</v>
      </c>
    </row>
    <row r="9" spans="1:9" ht="15.75" customHeight="1" x14ac:dyDescent="0.25">
      <c r="A9" s="5">
        <f t="shared" si="3"/>
        <v>2028</v>
      </c>
      <c r="B9" s="49">
        <v>1052553.2598000001</v>
      </c>
      <c r="C9" s="50">
        <v>1673000</v>
      </c>
      <c r="D9" s="50">
        <v>2751000</v>
      </c>
      <c r="E9" s="50">
        <v>2006000</v>
      </c>
      <c r="F9" s="50">
        <v>1345000</v>
      </c>
      <c r="G9" s="17">
        <f t="shared" si="0"/>
        <v>7775000</v>
      </c>
      <c r="H9" s="17">
        <f t="shared" si="1"/>
        <v>1201470.2579943594</v>
      </c>
      <c r="I9" s="17">
        <f t="shared" si="2"/>
        <v>6573529.7420056406</v>
      </c>
    </row>
    <row r="10" spans="1:9" ht="15.75" customHeight="1" x14ac:dyDescent="0.25">
      <c r="A10" s="5">
        <f t="shared" si="3"/>
        <v>2029</v>
      </c>
      <c r="B10" s="49">
        <v>1067597.2692</v>
      </c>
      <c r="C10" s="50">
        <v>1716000</v>
      </c>
      <c r="D10" s="50">
        <v>2810000</v>
      </c>
      <c r="E10" s="50">
        <v>2074000</v>
      </c>
      <c r="F10" s="50">
        <v>1386000</v>
      </c>
      <c r="G10" s="17">
        <f t="shared" si="0"/>
        <v>7986000</v>
      </c>
      <c r="H10" s="17">
        <f t="shared" si="1"/>
        <v>1218642.7190425743</v>
      </c>
      <c r="I10" s="17">
        <f t="shared" si="2"/>
        <v>6767357.2809574259</v>
      </c>
    </row>
    <row r="11" spans="1:9" ht="15.75" customHeight="1" x14ac:dyDescent="0.25">
      <c r="A11" s="5">
        <f t="shared" si="3"/>
        <v>2030</v>
      </c>
      <c r="B11" s="49">
        <v>1082552.4010000001</v>
      </c>
      <c r="C11" s="50">
        <v>1759000</v>
      </c>
      <c r="D11" s="50">
        <v>2873000</v>
      </c>
      <c r="E11" s="50">
        <v>2141000</v>
      </c>
      <c r="F11" s="50">
        <v>1431000</v>
      </c>
      <c r="G11" s="17">
        <f t="shared" si="0"/>
        <v>8204000</v>
      </c>
      <c r="H11" s="17">
        <f t="shared" si="1"/>
        <v>1235713.7279390742</v>
      </c>
      <c r="I11" s="17">
        <f t="shared" si="2"/>
        <v>6968286.2720609261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LZWAT2kJxC6dNiV4CAcnxTsv8snSnidXiHdKFnZKSap55LObJrb47CHhPCAvklJe9xMm8zg50gZsrBrYjC/4dQ==" saltValue="lQYhoKL3D90FyhrJhKsg7Q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3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5">
      <c r="B3" s="19" t="s">
        <v>78</v>
      </c>
      <c r="C3" s="55">
        <v>0</v>
      </c>
    </row>
    <row r="4" spans="1:8" ht="15.75" customHeight="1" x14ac:dyDescent="0.25">
      <c r="B4" s="19" t="s">
        <v>79</v>
      </c>
      <c r="C4" s="101">
        <v>2.236840100862876E-2</v>
      </c>
    </row>
    <row r="5" spans="1:8" ht="15.75" customHeight="1" x14ac:dyDescent="0.25">
      <c r="B5" s="19" t="s">
        <v>80</v>
      </c>
      <c r="C5" s="101">
        <v>2.7828901869366401E-2</v>
      </c>
    </row>
    <row r="6" spans="1:8" ht="15.75" customHeight="1" x14ac:dyDescent="0.25">
      <c r="B6" s="19" t="s">
        <v>81</v>
      </c>
      <c r="C6" s="101">
        <v>0.10535892521549731</v>
      </c>
    </row>
    <row r="7" spans="1:8" ht="15.75" customHeight="1" x14ac:dyDescent="0.25">
      <c r="B7" s="19" t="s">
        <v>82</v>
      </c>
      <c r="C7" s="101">
        <v>0.40982172882225898</v>
      </c>
    </row>
    <row r="8" spans="1:8" ht="15.75" customHeight="1" x14ac:dyDescent="0.25">
      <c r="B8" s="19" t="s">
        <v>83</v>
      </c>
      <c r="C8" s="101">
        <v>0</v>
      </c>
    </row>
    <row r="9" spans="1:8" ht="15.75" customHeight="1" x14ac:dyDescent="0.25">
      <c r="B9" s="19" t="s">
        <v>84</v>
      </c>
      <c r="C9" s="101">
        <v>0.39392497298393803</v>
      </c>
    </row>
    <row r="10" spans="1:8" ht="15.75" customHeight="1" x14ac:dyDescent="0.25">
      <c r="B10" s="19" t="s">
        <v>85</v>
      </c>
      <c r="C10" s="101">
        <v>4.0697070100310678E-2</v>
      </c>
    </row>
    <row r="11" spans="1:8" ht="15.75" customHeight="1" x14ac:dyDescent="0.25">
      <c r="B11" s="27" t="s">
        <v>41</v>
      </c>
      <c r="C11" s="48">
        <f>SUM(C3:C10)</f>
        <v>1.0000000000000002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86</v>
      </c>
      <c r="B13" s="29" t="s">
        <v>1</v>
      </c>
      <c r="C13" s="102" t="s">
        <v>96</v>
      </c>
      <c r="D13" s="102" t="s">
        <v>97</v>
      </c>
      <c r="E13" s="102" t="s">
        <v>98</v>
      </c>
      <c r="F13" s="102" t="s">
        <v>99</v>
      </c>
      <c r="G13" s="19"/>
    </row>
    <row r="14" spans="1:8" ht="15.75" customHeight="1" x14ac:dyDescent="0.25">
      <c r="B14" s="19" t="s">
        <v>87</v>
      </c>
      <c r="C14" s="55">
        <v>3.0100854799463211E-2</v>
      </c>
      <c r="D14" s="55">
        <v>3.0100854799463211E-2</v>
      </c>
      <c r="E14" s="55">
        <v>3.0100854799463211E-2</v>
      </c>
      <c r="F14" s="55">
        <v>3.0100854799463211E-2</v>
      </c>
    </row>
    <row r="15" spans="1:8" ht="15.75" customHeight="1" x14ac:dyDescent="0.25">
      <c r="B15" s="19" t="s">
        <v>88</v>
      </c>
      <c r="C15" s="101">
        <v>7.4836490071676878E-2</v>
      </c>
      <c r="D15" s="101">
        <v>7.4836490071676878E-2</v>
      </c>
      <c r="E15" s="101">
        <v>7.4836490071676878E-2</v>
      </c>
      <c r="F15" s="101">
        <v>7.4836490071676878E-2</v>
      </c>
    </row>
    <row r="16" spans="1:8" ht="15.75" customHeight="1" x14ac:dyDescent="0.25">
      <c r="B16" s="19" t="s">
        <v>89</v>
      </c>
      <c r="C16" s="101">
        <v>2.0367798948042939E-2</v>
      </c>
      <c r="D16" s="101">
        <v>2.0367798948042939E-2</v>
      </c>
      <c r="E16" s="101">
        <v>2.0367798948042939E-2</v>
      </c>
      <c r="F16" s="101">
        <v>2.0367798948042939E-2</v>
      </c>
    </row>
    <row r="17" spans="1:8" ht="15.75" customHeight="1" x14ac:dyDescent="0.25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91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92</v>
      </c>
      <c r="C19" s="101">
        <v>2.1566323907605458E-3</v>
      </c>
      <c r="D19" s="101">
        <v>2.1566323907605458E-3</v>
      </c>
      <c r="E19" s="101">
        <v>2.1566323907605458E-3</v>
      </c>
      <c r="F19" s="101">
        <v>2.1566323907605458E-3</v>
      </c>
    </row>
    <row r="20" spans="1:8" ht="15.75" customHeight="1" x14ac:dyDescent="0.25">
      <c r="B20" s="19" t="s">
        <v>93</v>
      </c>
      <c r="C20" s="101">
        <v>0.14952667703961739</v>
      </c>
      <c r="D20" s="101">
        <v>0.14952667703961739</v>
      </c>
      <c r="E20" s="101">
        <v>0.14952667703961739</v>
      </c>
      <c r="F20" s="101">
        <v>0.14952667703961739</v>
      </c>
    </row>
    <row r="21" spans="1:8" ht="15.75" customHeight="1" x14ac:dyDescent="0.25">
      <c r="B21" s="19" t="s">
        <v>94</v>
      </c>
      <c r="C21" s="101">
        <v>9.6059007995162413E-2</v>
      </c>
      <c r="D21" s="101">
        <v>9.6059007995162413E-2</v>
      </c>
      <c r="E21" s="101">
        <v>9.6059007995162413E-2</v>
      </c>
      <c r="F21" s="101">
        <v>9.6059007995162413E-2</v>
      </c>
    </row>
    <row r="22" spans="1:8" ht="15.75" customHeight="1" x14ac:dyDescent="0.25">
      <c r="B22" s="19" t="s">
        <v>95</v>
      </c>
      <c r="C22" s="101">
        <v>0.62695253875527646</v>
      </c>
      <c r="D22" s="101">
        <v>0.62695253875527646</v>
      </c>
      <c r="E22" s="101">
        <v>0.62695253875527646</v>
      </c>
      <c r="F22" s="101">
        <v>0.62695253875527646</v>
      </c>
    </row>
    <row r="23" spans="1:8" ht="15.75" customHeight="1" x14ac:dyDescent="0.25">
      <c r="B23" s="27" t="s">
        <v>41</v>
      </c>
      <c r="C23" s="48">
        <f>SUM(C14:C22)</f>
        <v>0.99999999999999989</v>
      </c>
      <c r="D23" s="48">
        <f>SUM(D14:D22)</f>
        <v>0.99999999999999989</v>
      </c>
      <c r="E23" s="48">
        <f>SUM(E14:E22)</f>
        <v>0.99999999999999989</v>
      </c>
      <c r="F23" s="48">
        <f>SUM(F14:F22)</f>
        <v>0.99999999999999989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101</v>
      </c>
      <c r="C26" s="55">
        <v>4.3847376999999993E-2</v>
      </c>
    </row>
    <row r="27" spans="1:8" ht="15.75" customHeight="1" x14ac:dyDescent="0.25">
      <c r="B27" s="19" t="s">
        <v>102</v>
      </c>
      <c r="C27" s="101">
        <v>3.4044087000000001E-2</v>
      </c>
    </row>
    <row r="28" spans="1:8" ht="15.75" customHeight="1" x14ac:dyDescent="0.25">
      <c r="B28" s="19" t="s">
        <v>103</v>
      </c>
      <c r="C28" s="101">
        <v>4.3283602999999997E-2</v>
      </c>
    </row>
    <row r="29" spans="1:8" ht="15.75" customHeight="1" x14ac:dyDescent="0.25">
      <c r="B29" s="19" t="s">
        <v>104</v>
      </c>
      <c r="C29" s="101">
        <v>0.177569167</v>
      </c>
    </row>
    <row r="30" spans="1:8" ht="15.75" customHeight="1" x14ac:dyDescent="0.25">
      <c r="B30" s="19" t="s">
        <v>2</v>
      </c>
      <c r="C30" s="101">
        <v>3.1893660999999997E-2</v>
      </c>
    </row>
    <row r="31" spans="1:8" ht="15.75" customHeight="1" x14ac:dyDescent="0.25">
      <c r="B31" s="19" t="s">
        <v>105</v>
      </c>
      <c r="C31" s="101">
        <v>9.3503550000000005E-2</v>
      </c>
    </row>
    <row r="32" spans="1:8" ht="15.75" customHeight="1" x14ac:dyDescent="0.25">
      <c r="B32" s="19" t="s">
        <v>106</v>
      </c>
      <c r="C32" s="101">
        <v>7.8392814000000005E-2</v>
      </c>
    </row>
    <row r="33" spans="2:3" ht="15.75" customHeight="1" x14ac:dyDescent="0.25">
      <c r="B33" s="19" t="s">
        <v>107</v>
      </c>
      <c r="C33" s="101">
        <v>0.15751110600000001</v>
      </c>
    </row>
    <row r="34" spans="2:3" ht="15.75" customHeight="1" x14ac:dyDescent="0.25">
      <c r="B34" s="19" t="s">
        <v>108</v>
      </c>
      <c r="C34" s="101">
        <v>0.33995463500000001</v>
      </c>
    </row>
    <row r="35" spans="2:3" ht="15.75" customHeight="1" x14ac:dyDescent="0.25">
      <c r="B35" s="27" t="s">
        <v>41</v>
      </c>
      <c r="C35" s="48">
        <f>SUM(C26:C34)</f>
        <v>1</v>
      </c>
    </row>
  </sheetData>
  <sheetProtection algorithmName="SHA-512" hashValue="aVZE6xyj3DXjn2IYuvZGpsrYcRun2iUn3sLj8Pr95ArQb3xotKGXES+42Zri/QAVVwnSu8K9r9RNrofmCctx9w==" saltValue="54lBEh/AVa6Hysm7MTMCow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5">
      <c r="A2" s="3" t="s">
        <v>111</v>
      </c>
      <c r="B2" s="5" t="s">
        <v>112</v>
      </c>
      <c r="C2" s="52">
        <f>IFERROR(1-_xlfn.NORM.DIST(_xlfn.NORM.INV(SUM(C4:C5), 0, 1) + 1, 0, 1, TRUE), "")</f>
        <v>0.93833866148798106</v>
      </c>
      <c r="D2" s="52">
        <f>IFERROR(1-_xlfn.NORM.DIST(_xlfn.NORM.INV(SUM(D4:D5), 0, 1) + 1, 0, 1, TRUE), "")</f>
        <v>0.93833866148798106</v>
      </c>
      <c r="E2" s="52">
        <f>IFERROR(1-_xlfn.NORM.DIST(_xlfn.NORM.INV(SUM(E4:E5), 0, 1) + 1, 0, 1, TRUE), "")</f>
        <v>0.97657259788527084</v>
      </c>
      <c r="F2" s="52">
        <f>IFERROR(1-_xlfn.NORM.DIST(_xlfn.NORM.INV(SUM(F4:F5), 0, 1) + 1, 0, 1, TRUE), "")</f>
        <v>0.76771322469849701</v>
      </c>
      <c r="G2" s="52">
        <f>IFERROR(1-_xlfn.NORM.DIST(_xlfn.NORM.INV(SUM(G4:G5), 0, 1) + 1, 0, 1, TRUE), "")</f>
        <v>0.76772724821307881</v>
      </c>
    </row>
    <row r="3" spans="1:15" ht="15.75" customHeight="1" x14ac:dyDescent="0.25">
      <c r="B3" s="5" t="s">
        <v>113</v>
      </c>
      <c r="C3" s="52">
        <f>IFERROR(_xlfn.NORM.DIST(_xlfn.NORM.INV(SUM(C4:C5), 0, 1) + 1, 0, 1, TRUE) - SUM(C4:C5), "")</f>
        <v>5.6134159912018915E-2</v>
      </c>
      <c r="D3" s="52">
        <f>IFERROR(_xlfn.NORM.DIST(_xlfn.NORM.INV(SUM(D4:D5), 0, 1) + 1, 0, 1, TRUE) - SUM(D4:D5), "")</f>
        <v>5.6134159912018915E-2</v>
      </c>
      <c r="E3" s="52">
        <f>IFERROR(_xlfn.NORM.DIST(_xlfn.NORM.INV(SUM(E4:E5), 0, 1) + 1, 0, 1, TRUE) - SUM(E4:E5), "")</f>
        <v>2.2021563114729165E-2</v>
      </c>
      <c r="F3" s="52">
        <f>IFERROR(_xlfn.NORM.DIST(_xlfn.NORM.INV(SUM(F4:F5), 0, 1) + 1, 0, 1, TRUE) - SUM(F4:F5), "")</f>
        <v>0.19059090600150297</v>
      </c>
      <c r="G3" s="52">
        <f>IFERROR(_xlfn.NORM.DIST(_xlfn.NORM.INV(SUM(G4:G5), 0, 1) + 1, 0, 1, TRUE) - SUM(G4:G5), "")</f>
        <v>0.19058097588692124</v>
      </c>
    </row>
    <row r="4" spans="1:15" ht="15.75" customHeight="1" x14ac:dyDescent="0.25">
      <c r="B4" s="5" t="s">
        <v>114</v>
      </c>
      <c r="C4" s="45">
        <v>5.5271786E-3</v>
      </c>
      <c r="D4" s="53">
        <v>5.5271786E-3</v>
      </c>
      <c r="E4" s="53">
        <v>0</v>
      </c>
      <c r="F4" s="53">
        <v>3.6424096000000003E-2</v>
      </c>
      <c r="G4" s="53">
        <v>3.7740078000000003E-2</v>
      </c>
    </row>
    <row r="5" spans="1:15" ht="15.75" customHeight="1" x14ac:dyDescent="0.25">
      <c r="B5" s="5" t="s">
        <v>115</v>
      </c>
      <c r="C5" s="45">
        <v>0</v>
      </c>
      <c r="D5" s="53">
        <v>0</v>
      </c>
      <c r="E5" s="53">
        <v>1.4058390000000001E-3</v>
      </c>
      <c r="F5" s="53">
        <v>5.2717733000000001E-3</v>
      </c>
      <c r="G5" s="53">
        <v>3.9516979000000004E-3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116</v>
      </c>
      <c r="B8" s="5" t="s">
        <v>117</v>
      </c>
      <c r="C8" s="52">
        <f>IFERROR(1-_xlfn.NORM.DIST(_xlfn.NORM.INV(SUM(C10:C11), 0, 1) + 1, 0, 1, TRUE), "")</f>
        <v>0.86844633964209028</v>
      </c>
      <c r="D8" s="52">
        <f>IFERROR(1-_xlfn.NORM.DIST(_xlfn.NORM.INV(SUM(D10:D11), 0, 1) + 1, 0, 1, TRUE), "")</f>
        <v>0.86844633964209028</v>
      </c>
      <c r="E8" s="52">
        <f>IFERROR(1-_xlfn.NORM.DIST(_xlfn.NORM.INV(SUM(E10:E11), 0, 1) + 1, 0, 1, TRUE), "")</f>
        <v>0.94854441272980083</v>
      </c>
      <c r="F8" s="52">
        <f>IFERROR(1-_xlfn.NORM.DIST(_xlfn.NORM.INV(SUM(F10:F11), 0, 1) + 1, 0, 1, TRUE), "")</f>
        <v>0.83838131374153957</v>
      </c>
      <c r="G8" s="52">
        <f>IFERROR(1-_xlfn.NORM.DIST(_xlfn.NORM.INV(SUM(G10:G11), 0, 1) + 1, 0, 1, TRUE), "")</f>
        <v>0.85944405584287498</v>
      </c>
    </row>
    <row r="9" spans="1:15" ht="15.75" customHeight="1" x14ac:dyDescent="0.25">
      <c r="B9" s="5" t="s">
        <v>118</v>
      </c>
      <c r="C9" s="52">
        <f>IFERROR(_xlfn.NORM.DIST(_xlfn.NORM.INV(SUM(C10:C11), 0, 1) + 1, 0, 1, TRUE) - SUM(C10:C11), "")</f>
        <v>0.11451167735790969</v>
      </c>
      <c r="D9" s="52">
        <f>IFERROR(_xlfn.NORM.DIST(_xlfn.NORM.INV(SUM(D10:D11), 0, 1) + 1, 0, 1, TRUE) - SUM(D10:D11), "")</f>
        <v>0.11451167735790969</v>
      </c>
      <c r="E9" s="52">
        <f>IFERROR(_xlfn.NORM.DIST(_xlfn.NORM.INV(SUM(E10:E11), 0, 1) + 1, 0, 1, TRUE) - SUM(E10:E11), "")</f>
        <v>4.7197647470199125E-2</v>
      </c>
      <c r="F9" s="52">
        <f>IFERROR(_xlfn.NORM.DIST(_xlfn.NORM.INV(SUM(F10:F11), 0, 1) + 1, 0, 1, TRUE) - SUM(F10:F11), "")</f>
        <v>0.13820327405846045</v>
      </c>
      <c r="G9" s="52">
        <f>IFERROR(_xlfn.NORM.DIST(_xlfn.NORM.INV(SUM(G10:G11), 0, 1) + 1, 0, 1, TRUE) - SUM(G10:G11), "")</f>
        <v>0.12169320112712502</v>
      </c>
    </row>
    <row r="10" spans="1:15" ht="15.75" customHeight="1" x14ac:dyDescent="0.25">
      <c r="B10" s="5" t="s">
        <v>119</v>
      </c>
      <c r="C10" s="45">
        <v>1.5226834999999999E-2</v>
      </c>
      <c r="D10" s="53">
        <v>1.5226834999999999E-2</v>
      </c>
      <c r="E10" s="53">
        <v>4.2579397999999999E-3</v>
      </c>
      <c r="F10" s="53">
        <v>1.9031348999999999E-2</v>
      </c>
      <c r="G10" s="53">
        <v>1.8356117000000002E-2</v>
      </c>
    </row>
    <row r="11" spans="1:15" ht="15.75" customHeight="1" x14ac:dyDescent="0.25">
      <c r="B11" s="5" t="s">
        <v>120</v>
      </c>
      <c r="C11" s="45">
        <v>1.8151479999999999E-3</v>
      </c>
      <c r="D11" s="53">
        <v>1.8151479999999999E-3</v>
      </c>
      <c r="E11" s="53">
        <v>0</v>
      </c>
      <c r="F11" s="53">
        <v>4.3840631999999997E-3</v>
      </c>
      <c r="G11" s="53">
        <v>5.0662603000000003E-4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5">
      <c r="B14" s="11" t="s">
        <v>126</v>
      </c>
      <c r="C14" s="51">
        <v>0.95296559150000004</v>
      </c>
      <c r="D14" s="54">
        <v>0.95116511860899999</v>
      </c>
      <c r="E14" s="54">
        <v>0.95116511860899999</v>
      </c>
      <c r="F14" s="54">
        <v>0.76734861546599997</v>
      </c>
      <c r="G14" s="54">
        <v>0.76734861546599997</v>
      </c>
      <c r="H14" s="45">
        <v>0.247</v>
      </c>
      <c r="I14" s="55">
        <v>0.247</v>
      </c>
      <c r="J14" s="55">
        <v>0.247</v>
      </c>
      <c r="K14" s="55">
        <v>0.247</v>
      </c>
      <c r="L14" s="45">
        <v>0.14599999999999999</v>
      </c>
      <c r="M14" s="55">
        <v>0.14599999999999999</v>
      </c>
      <c r="N14" s="55">
        <v>0.14599999999999999</v>
      </c>
      <c r="O14" s="55">
        <v>0.14599999999999999</v>
      </c>
    </row>
    <row r="15" spans="1:15" ht="15.75" customHeight="1" x14ac:dyDescent="0.25">
      <c r="B15" s="11" t="s">
        <v>127</v>
      </c>
      <c r="C15" s="52">
        <f t="shared" ref="C15:O15" si="0">iron_deficiency_anaemia*C14</f>
        <v>0.52235284153126105</v>
      </c>
      <c r="D15" s="52">
        <f t="shared" si="0"/>
        <v>0.52136594112362566</v>
      </c>
      <c r="E15" s="52">
        <f t="shared" si="0"/>
        <v>0.52136594112362566</v>
      </c>
      <c r="F15" s="52">
        <f t="shared" si="0"/>
        <v>0.42060986598984046</v>
      </c>
      <c r="G15" s="52">
        <f t="shared" si="0"/>
        <v>0.42060986598984046</v>
      </c>
      <c r="H15" s="52">
        <f t="shared" si="0"/>
        <v>0.13538909800000001</v>
      </c>
      <c r="I15" s="52">
        <f t="shared" si="0"/>
        <v>0.13538909800000001</v>
      </c>
      <c r="J15" s="52">
        <f t="shared" si="0"/>
        <v>0.13538909800000001</v>
      </c>
      <c r="K15" s="52">
        <f t="shared" si="0"/>
        <v>0.13538909800000001</v>
      </c>
      <c r="L15" s="52">
        <f t="shared" si="0"/>
        <v>8.0027563999999995E-2</v>
      </c>
      <c r="M15" s="52">
        <f t="shared" si="0"/>
        <v>8.0027563999999995E-2</v>
      </c>
      <c r="N15" s="52">
        <f t="shared" si="0"/>
        <v>8.0027563999999995E-2</v>
      </c>
      <c r="O15" s="52">
        <f t="shared" si="0"/>
        <v>8.0027563999999995E-2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8nh//R6So96DAQHVD4LKPOoSAPCWVAkU+Q74aIz43DWw40XRiXnYOeFUBsxF8rpPEmeE6HW2O1ypoGDYeWslPg==" saltValue="2RZvSfxWzFwgAt4o4OsKd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5">
      <c r="A2" s="3" t="s">
        <v>128</v>
      </c>
      <c r="B2" s="3" t="s">
        <v>129</v>
      </c>
      <c r="C2" s="45">
        <v>0.43854946140000001</v>
      </c>
      <c r="D2" s="53">
        <v>0.22471399</v>
      </c>
      <c r="E2" s="53"/>
      <c r="F2" s="53"/>
      <c r="G2" s="53"/>
    </row>
    <row r="3" spans="1:7" x14ac:dyDescent="0.25">
      <c r="B3" s="3" t="s">
        <v>130</v>
      </c>
      <c r="C3" s="53">
        <v>8.4647979999999998E-2</v>
      </c>
      <c r="D3" s="53">
        <v>0.14546853000000001</v>
      </c>
      <c r="E3" s="53"/>
      <c r="F3" s="53"/>
      <c r="G3" s="53"/>
    </row>
    <row r="4" spans="1:7" x14ac:dyDescent="0.25">
      <c r="B4" s="3" t="s">
        <v>131</v>
      </c>
      <c r="C4" s="53">
        <v>0.37770904999999999</v>
      </c>
      <c r="D4" s="53">
        <v>0.45987926000000001</v>
      </c>
      <c r="E4" s="53">
        <v>0.68089199066162098</v>
      </c>
      <c r="F4" s="53">
        <v>0.39779895544052102</v>
      </c>
      <c r="G4" s="53"/>
    </row>
    <row r="5" spans="1:7" x14ac:dyDescent="0.25">
      <c r="B5" s="3" t="s">
        <v>132</v>
      </c>
      <c r="C5" s="52">
        <v>9.9093484879999985E-2</v>
      </c>
      <c r="D5" s="52">
        <v>0.16993823999999999</v>
      </c>
      <c r="E5" s="52">
        <f>1-SUM(E2:E4)</f>
        <v>0.31910800933837902</v>
      </c>
      <c r="F5" s="52">
        <f>1-SUM(F2:F4)</f>
        <v>0.60220104455947898</v>
      </c>
      <c r="G5" s="52">
        <f>1-SUM(G2:G4)</f>
        <v>1</v>
      </c>
    </row>
  </sheetData>
  <sheetProtection algorithmName="SHA-512" hashValue="u+WICbNXef1yL3Zw98X1Y8fte69X1FCgppd+BvXZYgnsev1eKgUmLTuxCgJPRIfkDFczGNY+Xia2RoCJ/woa5w==" saltValue="1Vnx7jud+E8LDNZhO90EWw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doHw0bIxtT5XaRkvwqoJucTvjzfn6lYukqvMdHCahtdZ3z2kdixDAK+WTH/qiLh/xYBirYghcRtM8teus96XOQ==" saltValue="NCi984KYNRho7mSm/Drorg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4</v>
      </c>
      <c r="B1" s="4" t="s">
        <v>144</v>
      </c>
    </row>
    <row r="2" spans="1:2" x14ac:dyDescent="0.25">
      <c r="A2" s="8" t="s">
        <v>145</v>
      </c>
      <c r="B2" s="41">
        <v>10</v>
      </c>
    </row>
    <row r="3" spans="1:2" x14ac:dyDescent="0.25">
      <c r="A3" s="8" t="s">
        <v>150</v>
      </c>
      <c r="B3" s="41">
        <v>10</v>
      </c>
    </row>
    <row r="4" spans="1:2" x14ac:dyDescent="0.25">
      <c r="A4" s="8" t="s">
        <v>146</v>
      </c>
      <c r="B4" s="41">
        <v>10</v>
      </c>
    </row>
    <row r="5" spans="1:2" x14ac:dyDescent="0.25">
      <c r="A5" s="8" t="s">
        <v>147</v>
      </c>
      <c r="B5" s="41">
        <v>10</v>
      </c>
    </row>
    <row r="6" spans="1:2" x14ac:dyDescent="0.25">
      <c r="A6" s="8" t="s">
        <v>148</v>
      </c>
      <c r="B6" s="41">
        <v>10</v>
      </c>
    </row>
    <row r="7" spans="1:2" x14ac:dyDescent="0.25">
      <c r="A7" s="8" t="s">
        <v>149</v>
      </c>
      <c r="B7" s="41">
        <v>10</v>
      </c>
    </row>
  </sheetData>
  <sheetProtection algorithmName="SHA-512" hashValue="pcFC1LMlaC0lCMIBo15HLe2CjDvoqfP8NBISOaccipcCPT/slA8Tg2tAHwruEdjqS7fDCGN0f6bA9UPSkeFy8g==" saltValue="+Lg96qSSQV6AQVngLpYhBA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ht="13" customHeight="1" x14ac:dyDescent="0.3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x14ac:dyDescent="0.25">
      <c r="B3" s="32" t="s">
        <v>109</v>
      </c>
      <c r="C3" s="47"/>
      <c r="D3" s="47" t="s">
        <v>5</v>
      </c>
      <c r="E3" s="38" t="str">
        <f>IF(E$7="","",E$7)</f>
        <v/>
      </c>
    </row>
    <row r="4" spans="1:5" x14ac:dyDescent="0.25">
      <c r="B4" s="32" t="s">
        <v>96</v>
      </c>
      <c r="C4" s="47"/>
      <c r="D4" s="47" t="s">
        <v>5</v>
      </c>
      <c r="E4" s="38" t="str">
        <f>IF(E$7="","",E$7)</f>
        <v/>
      </c>
    </row>
    <row r="5" spans="1:5" x14ac:dyDescent="0.25">
      <c r="B5" s="32" t="s">
        <v>97</v>
      </c>
      <c r="C5" s="47"/>
      <c r="D5" s="47"/>
      <c r="E5" s="38" t="str">
        <f>IF(E$7="","",E$7)</f>
        <v/>
      </c>
    </row>
    <row r="6" spans="1:5" x14ac:dyDescent="0.25">
      <c r="B6" s="32" t="s">
        <v>98</v>
      </c>
      <c r="C6" s="47"/>
      <c r="D6" s="47"/>
      <c r="E6" s="38" t="str">
        <f>IF(E$7="","",E$7)</f>
        <v/>
      </c>
    </row>
    <row r="7" spans="1:5" x14ac:dyDescent="0.25">
      <c r="B7" s="32" t="s">
        <v>156</v>
      </c>
      <c r="C7" s="31"/>
      <c r="D7" s="30"/>
      <c r="E7" s="47"/>
    </row>
    <row r="9" spans="1:5" ht="13" customHeight="1" x14ac:dyDescent="0.3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x14ac:dyDescent="0.25">
      <c r="B10" s="32" t="s">
        <v>109</v>
      </c>
      <c r="C10" s="47"/>
      <c r="D10" s="47"/>
      <c r="E10" s="38" t="str">
        <f>IF(E$7="","",E$7)</f>
        <v/>
      </c>
    </row>
    <row r="11" spans="1:5" x14ac:dyDescent="0.25">
      <c r="B11" s="32" t="s">
        <v>96</v>
      </c>
      <c r="C11" s="47"/>
      <c r="D11" s="47"/>
      <c r="E11" s="38" t="str">
        <f>IF(E$7="","",E$7)</f>
        <v/>
      </c>
    </row>
    <row r="12" spans="1:5" x14ac:dyDescent="0.25">
      <c r="B12" s="32" t="s">
        <v>97</v>
      </c>
      <c r="C12" s="47"/>
      <c r="D12" s="47" t="s">
        <v>5</v>
      </c>
      <c r="E12" s="38" t="str">
        <f>IF(E$7="","",E$7)</f>
        <v/>
      </c>
    </row>
    <row r="13" spans="1:5" x14ac:dyDescent="0.25">
      <c r="B13" s="32" t="s">
        <v>98</v>
      </c>
      <c r="C13" s="47"/>
      <c r="D13" s="47" t="s">
        <v>5</v>
      </c>
      <c r="E13" s="38" t="str">
        <f>IF(E$7="","",E$7)</f>
        <v/>
      </c>
    </row>
    <row r="14" spans="1:5" x14ac:dyDescent="0.25">
      <c r="B14" s="32" t="s">
        <v>156</v>
      </c>
      <c r="C14" s="31"/>
      <c r="D14" s="30"/>
      <c r="E14" s="47"/>
    </row>
    <row r="16" spans="1:5" ht="13" customHeight="1" x14ac:dyDescent="0.3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x14ac:dyDescent="0.25">
      <c r="B17" s="32" t="s">
        <v>109</v>
      </c>
      <c r="C17" s="47"/>
      <c r="D17" s="47" t="s">
        <v>5</v>
      </c>
      <c r="E17" s="38" t="str">
        <f>IF(E$7="","",E$7)</f>
        <v/>
      </c>
    </row>
    <row r="18" spans="2:5" x14ac:dyDescent="0.25">
      <c r="B18" s="32" t="s">
        <v>96</v>
      </c>
      <c r="C18" s="47"/>
      <c r="D18" s="47" t="s">
        <v>5</v>
      </c>
      <c r="E18" s="38" t="str">
        <f>IF(E$7="","",E$7)</f>
        <v/>
      </c>
    </row>
    <row r="19" spans="2:5" x14ac:dyDescent="0.25">
      <c r="B19" s="32" t="s">
        <v>97</v>
      </c>
      <c r="C19" s="47"/>
      <c r="D19" s="47" t="s">
        <v>5</v>
      </c>
      <c r="E19" s="38" t="str">
        <f>IF(E$7="","",E$7)</f>
        <v/>
      </c>
    </row>
    <row r="20" spans="2:5" x14ac:dyDescent="0.25">
      <c r="B20" s="32" t="s">
        <v>98</v>
      </c>
      <c r="C20" s="47"/>
      <c r="D20" s="47" t="s">
        <v>5</v>
      </c>
      <c r="E20" s="38" t="str">
        <f>IF(E$7="","",E$7)</f>
        <v/>
      </c>
    </row>
    <row r="21" spans="2:5" x14ac:dyDescent="0.25">
      <c r="B21" s="32" t="s">
        <v>156</v>
      </c>
      <c r="C21" s="31"/>
      <c r="D21" s="30"/>
      <c r="E21" s="47"/>
    </row>
  </sheetData>
  <sheetProtection algorithmName="SHA-512" hashValue="MnWmkhTLe06HUET15oFGTplpr4kSmz+z8luJQfICAfXtMhtWiZITYfZ6dzFgQT5T70pjw/FpSmSsP66CkiHbhw==" saltValue="FhHpiGUmwcQ9S/s8ZaogL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162</v>
      </c>
      <c r="C1" s="40" t="s">
        <v>6</v>
      </c>
      <c r="D1" s="40" t="s">
        <v>163</v>
      </c>
    </row>
    <row r="2" spans="1:4" ht="13" customHeight="1" x14ac:dyDescent="0.3">
      <c r="A2" s="40" t="s">
        <v>160</v>
      </c>
      <c r="B2" s="32" t="s">
        <v>161</v>
      </c>
      <c r="C2" s="32" t="s">
        <v>165</v>
      </c>
      <c r="D2" s="47"/>
    </row>
    <row r="3" spans="1:4" ht="13" customHeight="1" x14ac:dyDescent="0.3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5cEWzSPr6JRWlIwmyVH3AbTng+n24k66azIXqYIIQQsISKs9BryytWg3phPYBRgan5S1d4wIy1nJmrO/13V4GA==" saltValue="lsvl5srPo/Z+n5z+nEyEI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5">
      <c r="A2" s="5" t="s">
        <v>168</v>
      </c>
      <c r="B2" s="45">
        <v>0.63209012076205195</v>
      </c>
      <c r="C2" s="98">
        <v>0.95</v>
      </c>
      <c r="D2" s="56">
        <v>41.387637286401322</v>
      </c>
      <c r="E2" s="56" t="s">
        <v>201</v>
      </c>
      <c r="F2" s="98">
        <v>1</v>
      </c>
      <c r="G2" s="98">
        <v>1</v>
      </c>
    </row>
    <row r="3" spans="1:7" ht="15.75" customHeight="1" x14ac:dyDescent="0.25">
      <c r="A3" s="5" t="s">
        <v>169</v>
      </c>
      <c r="B3" s="45">
        <v>0</v>
      </c>
      <c r="C3" s="98">
        <v>0.95</v>
      </c>
      <c r="D3" s="56">
        <v>44.781858972877899</v>
      </c>
      <c r="E3" s="56" t="s">
        <v>201</v>
      </c>
      <c r="F3" s="98">
        <v>1</v>
      </c>
      <c r="G3" s="98">
        <v>1</v>
      </c>
    </row>
    <row r="4" spans="1:7" ht="15.75" customHeight="1" x14ac:dyDescent="0.25">
      <c r="A4" s="5" t="s">
        <v>170</v>
      </c>
      <c r="B4" s="98">
        <v>0</v>
      </c>
      <c r="C4" s="98">
        <v>0.95</v>
      </c>
      <c r="D4" s="56">
        <v>153.4973723658575</v>
      </c>
      <c r="E4" s="56" t="s">
        <v>201</v>
      </c>
      <c r="F4" s="98">
        <v>1</v>
      </c>
      <c r="G4" s="98">
        <v>1</v>
      </c>
    </row>
    <row r="5" spans="1:7" ht="15.75" customHeight="1" x14ac:dyDescent="0.25">
      <c r="A5" s="5" t="s">
        <v>171</v>
      </c>
      <c r="B5" s="98">
        <v>0</v>
      </c>
      <c r="C5" s="98">
        <v>0.95</v>
      </c>
      <c r="D5" s="56">
        <v>0.29312507679810212</v>
      </c>
      <c r="E5" s="56" t="s">
        <v>201</v>
      </c>
      <c r="F5" s="98">
        <v>1</v>
      </c>
      <c r="G5" s="98">
        <v>1</v>
      </c>
    </row>
    <row r="6" spans="1:7" ht="15.75" customHeight="1" x14ac:dyDescent="0.25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5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5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5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5">
      <c r="A10" s="11" t="s">
        <v>176</v>
      </c>
      <c r="B10" s="45">
        <v>0</v>
      </c>
      <c r="C10" s="98">
        <v>0.95</v>
      </c>
      <c r="D10" s="56">
        <v>14.30692084199827</v>
      </c>
      <c r="E10" s="56" t="s">
        <v>201</v>
      </c>
      <c r="F10" s="98">
        <v>1</v>
      </c>
      <c r="G10" s="98">
        <v>1</v>
      </c>
    </row>
    <row r="11" spans="1:7" ht="15.75" customHeight="1" x14ac:dyDescent="0.25">
      <c r="A11" s="11" t="s">
        <v>177</v>
      </c>
      <c r="B11" s="98">
        <v>0</v>
      </c>
      <c r="C11" s="98">
        <v>0.95</v>
      </c>
      <c r="D11" s="56">
        <v>14.30692084199827</v>
      </c>
      <c r="E11" s="56" t="s">
        <v>201</v>
      </c>
      <c r="F11" s="98">
        <v>1</v>
      </c>
      <c r="G11" s="98">
        <v>1</v>
      </c>
    </row>
    <row r="12" spans="1:7" ht="15.75" customHeight="1" x14ac:dyDescent="0.25">
      <c r="A12" s="11" t="s">
        <v>178</v>
      </c>
      <c r="B12" s="98">
        <v>0</v>
      </c>
      <c r="C12" s="98">
        <v>0.95</v>
      </c>
      <c r="D12" s="56">
        <v>14.30692084199827</v>
      </c>
      <c r="E12" s="56" t="s">
        <v>201</v>
      </c>
      <c r="F12" s="98">
        <v>1</v>
      </c>
      <c r="G12" s="98">
        <v>1</v>
      </c>
    </row>
    <row r="13" spans="1:7" ht="15.75" customHeight="1" x14ac:dyDescent="0.25">
      <c r="A13" s="11" t="s">
        <v>179</v>
      </c>
      <c r="B13" s="98">
        <v>0</v>
      </c>
      <c r="C13" s="98">
        <v>0.95</v>
      </c>
      <c r="D13" s="56">
        <v>14.30692084199827</v>
      </c>
      <c r="E13" s="56" t="s">
        <v>201</v>
      </c>
      <c r="F13" s="98">
        <v>1</v>
      </c>
      <c r="G13" s="98">
        <v>1</v>
      </c>
    </row>
    <row r="14" spans="1:7" ht="15.75" customHeight="1" x14ac:dyDescent="0.25">
      <c r="A14" s="5" t="s">
        <v>180</v>
      </c>
      <c r="B14" s="45">
        <v>0</v>
      </c>
      <c r="C14" s="98">
        <v>0.95</v>
      </c>
      <c r="D14" s="56">
        <v>14.30692084199827</v>
      </c>
      <c r="E14" s="56" t="s">
        <v>201</v>
      </c>
      <c r="F14" s="98">
        <v>1</v>
      </c>
      <c r="G14" s="98">
        <v>1</v>
      </c>
    </row>
    <row r="15" spans="1:7" ht="15.75" customHeight="1" x14ac:dyDescent="0.25">
      <c r="A15" s="5" t="s">
        <v>181</v>
      </c>
      <c r="B15" s="98">
        <v>0</v>
      </c>
      <c r="C15" s="98">
        <v>0.95</v>
      </c>
      <c r="D15" s="56">
        <v>14.30692084199827</v>
      </c>
      <c r="E15" s="56" t="s">
        <v>201</v>
      </c>
      <c r="F15" s="98">
        <v>1</v>
      </c>
      <c r="G15" s="98">
        <v>1</v>
      </c>
    </row>
    <row r="16" spans="1:7" ht="15.75" customHeight="1" x14ac:dyDescent="0.25">
      <c r="A16" s="5" t="s">
        <v>182</v>
      </c>
      <c r="B16" s="45">
        <v>0.75127765838598504</v>
      </c>
      <c r="C16" s="98">
        <v>0.95</v>
      </c>
      <c r="D16" s="56">
        <v>0.36320040935559378</v>
      </c>
      <c r="E16" s="56" t="s">
        <v>201</v>
      </c>
      <c r="F16" s="98">
        <v>1</v>
      </c>
      <c r="G16" s="98">
        <v>1</v>
      </c>
    </row>
    <row r="17" spans="1:7" ht="15.75" customHeight="1" x14ac:dyDescent="0.25">
      <c r="A17" s="5" t="s">
        <v>183</v>
      </c>
      <c r="B17" s="98">
        <v>0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" customHeight="1" x14ac:dyDescent="0.25">
      <c r="A18" s="5" t="s">
        <v>157</v>
      </c>
      <c r="B18" s="98">
        <v>0</v>
      </c>
      <c r="C18" s="98">
        <v>0.95</v>
      </c>
      <c r="D18" s="56">
        <v>3.617191631009383</v>
      </c>
      <c r="E18" s="56" t="s">
        <v>201</v>
      </c>
      <c r="F18" s="98">
        <v>1</v>
      </c>
      <c r="G18" s="98">
        <v>1</v>
      </c>
    </row>
    <row r="19" spans="1:7" ht="15.75" customHeight="1" x14ac:dyDescent="0.25">
      <c r="A19" s="5" t="s">
        <v>158</v>
      </c>
      <c r="B19" s="98">
        <v>0</v>
      </c>
      <c r="C19" s="98">
        <v>0.95</v>
      </c>
      <c r="D19" s="56">
        <v>3.617191631009383</v>
      </c>
      <c r="E19" s="56" t="s">
        <v>201</v>
      </c>
      <c r="F19" s="98">
        <v>1</v>
      </c>
      <c r="G19" s="98">
        <v>1</v>
      </c>
    </row>
    <row r="20" spans="1:7" ht="15.75" customHeight="1" x14ac:dyDescent="0.25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5">
      <c r="A21" s="5" t="s">
        <v>184</v>
      </c>
      <c r="B21" s="45">
        <v>0.20890825269999999</v>
      </c>
      <c r="C21" s="98">
        <v>0.95</v>
      </c>
      <c r="D21" s="56">
        <v>2.758347102408317</v>
      </c>
      <c r="E21" s="56" t="s">
        <v>201</v>
      </c>
      <c r="F21" s="98">
        <v>1</v>
      </c>
      <c r="G21" s="98">
        <v>1</v>
      </c>
    </row>
    <row r="22" spans="1:7" ht="15.75" customHeight="1" x14ac:dyDescent="0.25">
      <c r="A22" s="5" t="s">
        <v>185</v>
      </c>
      <c r="B22" s="98">
        <v>0</v>
      </c>
      <c r="C22" s="98">
        <v>0.95</v>
      </c>
      <c r="D22" s="56">
        <v>24.452045938305751</v>
      </c>
      <c r="E22" s="56" t="s">
        <v>201</v>
      </c>
      <c r="F22" s="98">
        <v>1</v>
      </c>
      <c r="G22" s="98">
        <v>1</v>
      </c>
    </row>
    <row r="23" spans="1:7" ht="15.75" customHeight="1" x14ac:dyDescent="0.25">
      <c r="A23" s="5" t="s">
        <v>186</v>
      </c>
      <c r="B23" s="98">
        <v>3.2008066180000003E-2</v>
      </c>
      <c r="C23" s="98">
        <v>0.95</v>
      </c>
      <c r="D23" s="56">
        <v>4.7321919239691654</v>
      </c>
      <c r="E23" s="56" t="s">
        <v>201</v>
      </c>
      <c r="F23" s="98">
        <v>1</v>
      </c>
      <c r="G23" s="98">
        <v>1</v>
      </c>
    </row>
    <row r="24" spans="1:7" ht="15.75" customHeight="1" x14ac:dyDescent="0.25">
      <c r="A24" s="5" t="s">
        <v>187</v>
      </c>
      <c r="B24" s="45">
        <v>0.89337655369133406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5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5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5">
      <c r="A27" s="5" t="s">
        <v>190</v>
      </c>
      <c r="B27" s="45">
        <v>0.61467118137531007</v>
      </c>
      <c r="C27" s="98">
        <v>0.95</v>
      </c>
      <c r="D27" s="56">
        <v>20.61562649086434</v>
      </c>
      <c r="E27" s="56" t="s">
        <v>201</v>
      </c>
      <c r="F27" s="98">
        <v>1</v>
      </c>
      <c r="G27" s="98">
        <v>1</v>
      </c>
    </row>
    <row r="28" spans="1:7" ht="15.75" customHeight="1" x14ac:dyDescent="0.25">
      <c r="A28" s="5" t="s">
        <v>191</v>
      </c>
      <c r="B28" s="45">
        <v>0.56282257079999998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5">
      <c r="A29" s="5" t="s">
        <v>192</v>
      </c>
      <c r="B29" s="45">
        <v>0</v>
      </c>
      <c r="C29" s="98">
        <v>0.95</v>
      </c>
      <c r="D29" s="56">
        <v>75.665679869964904</v>
      </c>
      <c r="E29" s="56" t="s">
        <v>201</v>
      </c>
      <c r="F29" s="98">
        <v>1</v>
      </c>
      <c r="G29" s="98">
        <v>1</v>
      </c>
    </row>
    <row r="30" spans="1:7" ht="15.75" customHeight="1" x14ac:dyDescent="0.25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5">
      <c r="A31" s="5" t="s">
        <v>161</v>
      </c>
      <c r="B31" s="45">
        <v>0</v>
      </c>
      <c r="C31" s="98">
        <v>0.95</v>
      </c>
      <c r="D31" s="56">
        <v>0.89524516395230957</v>
      </c>
      <c r="E31" s="56" t="s">
        <v>201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0.22471399</v>
      </c>
      <c r="C32" s="98">
        <v>0.95</v>
      </c>
      <c r="D32" s="56">
        <v>0.73334431799167266</v>
      </c>
      <c r="E32" s="56" t="s">
        <v>201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0.97818360252186098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4.8103308680000012E-2</v>
      </c>
      <c r="C38" s="98">
        <v>0.95</v>
      </c>
      <c r="D38" s="56">
        <v>5.7467676630794493</v>
      </c>
      <c r="E38" s="56" t="s">
        <v>201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0.75648277279999998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12lbEf8u/aMgGVx/ASwkP1gaUKw4h0FwXxl2bD0N/jJ3soHnRbYuF8CIfeDC+2SRkopEBcQ9uj3e/PprqVSonQ==" saltValue="jckO9SFfV9BJi5H2YAZjv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160</v>
      </c>
      <c r="B1" s="4" t="s">
        <v>206</v>
      </c>
      <c r="C1" s="4" t="s">
        <v>207</v>
      </c>
    </row>
    <row r="2" spans="1:3" x14ac:dyDescent="0.25">
      <c r="A2" s="57" t="s">
        <v>180</v>
      </c>
      <c r="B2" s="47" t="s">
        <v>190</v>
      </c>
      <c r="C2" s="47"/>
    </row>
    <row r="3" spans="1:3" x14ac:dyDescent="0.25">
      <c r="A3" s="57" t="s">
        <v>181</v>
      </c>
      <c r="B3" s="47" t="s">
        <v>190</v>
      </c>
      <c r="C3" s="47"/>
    </row>
    <row r="4" spans="1:3" x14ac:dyDescent="0.25">
      <c r="A4" s="57" t="s">
        <v>192</v>
      </c>
      <c r="B4" s="47" t="s">
        <v>185</v>
      </c>
      <c r="C4" s="47"/>
    </row>
    <row r="5" spans="1:3" x14ac:dyDescent="0.25">
      <c r="A5" s="57" t="s">
        <v>189</v>
      </c>
      <c r="B5" s="47" t="s">
        <v>185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tDch/4jzG2jXI+DwZrwyJkOXuUFnCYpfxxhFjDrVsJCjZWVIOPDmrv012Of+/760zETAZiHHXWycunHlojQkKg==" saltValue="Ok7PwaVm3AwW4CYI3KqyR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160</v>
      </c>
    </row>
    <row r="2" spans="1:1" x14ac:dyDescent="0.25">
      <c r="A2" s="33" t="s">
        <v>172</v>
      </c>
    </row>
    <row r="3" spans="1:1" x14ac:dyDescent="0.25">
      <c r="A3" s="33" t="s">
        <v>182</v>
      </c>
    </row>
    <row r="4" spans="1:1" x14ac:dyDescent="0.25">
      <c r="A4" s="33" t="s">
        <v>186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sheetProtection algorithmName="SHA-512" hashValue="NCv6HjDjjY7f5QVu16XZ6+Im2fWdp7cj6ckmA9i/a6qcMcHcqjBPZL5YYxVxaov+AyPPl8eNG7o5oRF6zd9rBA==" saltValue="nXT3jX0QfT58tH2z56xpb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3" t="s">
        <v>87</v>
      </c>
      <c r="B2" s="21">
        <f>'Données pop de l''année de ref'!C51</f>
        <v>3.2</v>
      </c>
      <c r="C2" s="21">
        <f>'Données pop de l''année de ref'!C52</f>
        <v>3.2</v>
      </c>
      <c r="D2" s="21">
        <f>'Données pop de l''année de ref'!C53</f>
        <v>3.2</v>
      </c>
      <c r="E2" s="21">
        <f>'Données pop de l''année de ref'!C54</f>
        <v>3.2</v>
      </c>
      <c r="F2" s="21">
        <f>'Données pop de l''année de ref'!C55</f>
        <v>3.2</v>
      </c>
    </row>
    <row r="3" spans="1:6" ht="15.75" customHeight="1" x14ac:dyDescent="0.25">
      <c r="A3" s="3" t="s">
        <v>209</v>
      </c>
      <c r="B3" s="21">
        <f>frac_mam_1month * 2.6</f>
        <v>3.9589771000000003E-2</v>
      </c>
      <c r="C3" s="21">
        <f>frac_mam_1_5months * 2.6</f>
        <v>3.9589771000000003E-2</v>
      </c>
      <c r="D3" s="21">
        <f>frac_mam_6_11months * 2.6</f>
        <v>1.107064348E-2</v>
      </c>
      <c r="E3" s="21">
        <f>frac_mam_12_23months * 2.6</f>
        <v>4.9481507399999999E-2</v>
      </c>
      <c r="F3" s="21">
        <f>frac_mam_24_59months * 2.6</f>
        <v>4.7725904200000009E-2</v>
      </c>
    </row>
    <row r="4" spans="1:6" ht="15.75" customHeight="1" x14ac:dyDescent="0.25">
      <c r="A4" s="3" t="s">
        <v>208</v>
      </c>
      <c r="B4" s="21">
        <f>frac_sam_1month * 2.6</f>
        <v>4.7193848000000004E-3</v>
      </c>
      <c r="C4" s="21">
        <f>frac_sam_1_5months * 2.6</f>
        <v>4.7193848000000004E-3</v>
      </c>
      <c r="D4" s="21">
        <f>frac_sam_6_11months * 2.6</f>
        <v>0</v>
      </c>
      <c r="E4" s="21">
        <f>frac_sam_12_23months * 2.6</f>
        <v>1.139856432E-2</v>
      </c>
      <c r="F4" s="21">
        <f>frac_sam_24_59months * 2.6</f>
        <v>1.3172276780000001E-3</v>
      </c>
    </row>
  </sheetData>
  <sheetProtection algorithmName="SHA-512" hashValue="CpGAjp+x10G6yQzd9TVcb7xHQlQE4p17WGpPIHnfSHE6S1TBpVVrpC9qoIWeRGx6oOxlA8qiUlSYY2W+95f9LA==" saltValue="sTcGlCuunNa7DpTatn20C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">
      <c r="A2" s="4" t="s">
        <v>86</v>
      </c>
      <c r="B2" s="5" t="s">
        <v>170</v>
      </c>
      <c r="C2" s="60">
        <v>0</v>
      </c>
      <c r="D2" s="60">
        <f>food_insecure</f>
        <v>1.4E-2</v>
      </c>
      <c r="E2" s="60">
        <f>food_insecure</f>
        <v>1.4E-2</v>
      </c>
      <c r="F2" s="60">
        <f>food_insecure</f>
        <v>1.4E-2</v>
      </c>
      <c r="G2" s="60">
        <f>food_insecure</f>
        <v>1.4E-2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185</v>
      </c>
      <c r="C5" s="60">
        <v>0</v>
      </c>
      <c r="D5" s="60">
        <v>0</v>
      </c>
      <c r="E5" s="60">
        <f>food_insecure</f>
        <v>1.4E-2</v>
      </c>
      <c r="F5" s="60">
        <f>food_insecure</f>
        <v>1.4E-2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191</v>
      </c>
      <c r="C7" s="60">
        <f>diarrhoea_1mo*frac_diarrhea_severe</f>
        <v>6.2E-2</v>
      </c>
      <c r="D7" s="60">
        <f>diarrhoea_1_5mo*frac_diarrhea_severe</f>
        <v>6.2E-2</v>
      </c>
      <c r="E7" s="60">
        <f>diarrhoea_6_11mo*frac_diarrhea_severe</f>
        <v>6.2E-2</v>
      </c>
      <c r="F7" s="60">
        <f>diarrhoea_12_23mo*frac_diarrhea_severe</f>
        <v>6.2E-2</v>
      </c>
      <c r="G7" s="60">
        <f>diarrhoea_24_59mo*frac_diarrhea_severe</f>
        <v>6.2E-2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192</v>
      </c>
      <c r="C8" s="60">
        <v>0</v>
      </c>
      <c r="D8" s="60">
        <v>0</v>
      </c>
      <c r="E8" s="60">
        <f>food_insecure</f>
        <v>1.4E-2</v>
      </c>
      <c r="F8" s="60">
        <f>food_insecure</f>
        <v>1.4E-2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205</v>
      </c>
      <c r="C9" s="60">
        <v>0</v>
      </c>
      <c r="D9" s="60">
        <v>0</v>
      </c>
      <c r="E9" s="60">
        <f>food_insecure</f>
        <v>1.4E-2</v>
      </c>
      <c r="F9" s="60">
        <f>food_insecure</f>
        <v>1.4E-2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161</v>
      </c>
      <c r="C10" s="60">
        <v>0</v>
      </c>
      <c r="D10" s="60">
        <f>IF(ISBLANK(comm_deliv), frac_children_health_facility,1)</f>
        <v>0.44</v>
      </c>
      <c r="E10" s="60">
        <f>IF(ISBLANK(comm_deliv), frac_children_health_facility,1)</f>
        <v>0.44</v>
      </c>
      <c r="F10" s="60">
        <f>IF(ISBLANK(comm_deliv), frac_children_health_facility,1)</f>
        <v>0.44</v>
      </c>
      <c r="G10" s="60">
        <f>IF(ISBLANK(comm_deliv), frac_children_health_facility,1)</f>
        <v>0.44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6.2E-2</v>
      </c>
      <c r="D12" s="60">
        <f>diarrhoea_1_5mo*frac_diarrhea_severe</f>
        <v>6.2E-2</v>
      </c>
      <c r="E12" s="60">
        <f>diarrhoea_6_11mo*frac_diarrhea_severe</f>
        <v>6.2E-2</v>
      </c>
      <c r="F12" s="60">
        <f>diarrhoea_12_23mo*frac_diarrhea_severe</f>
        <v>6.2E-2</v>
      </c>
      <c r="G12" s="60">
        <f>diarrhoea_24_59mo*frac_diarrhea_severe</f>
        <v>6.2E-2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1.4E-2</v>
      </c>
      <c r="I15" s="60">
        <f>food_insecure</f>
        <v>1.4E-2</v>
      </c>
      <c r="J15" s="60">
        <f>food_insecure</f>
        <v>1.4E-2</v>
      </c>
      <c r="K15" s="60">
        <f>food_insecure</f>
        <v>1.4E-2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0.442</v>
      </c>
      <c r="I18" s="60">
        <f>frac_PW_health_facility</f>
        <v>0.442</v>
      </c>
      <c r="J18" s="60">
        <f>frac_PW_health_facility</f>
        <v>0.442</v>
      </c>
      <c r="K18" s="60">
        <f>frac_PW_health_facility</f>
        <v>0.442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0.68900000000000006</v>
      </c>
      <c r="M24" s="60">
        <f>famplan_unmet_need</f>
        <v>0.68900000000000006</v>
      </c>
      <c r="N24" s="60">
        <f>famplan_unmet_need</f>
        <v>0.68900000000000006</v>
      </c>
      <c r="O24" s="60">
        <f>famplan_unmet_need</f>
        <v>0.68900000000000006</v>
      </c>
    </row>
    <row r="25" spans="1:15" ht="15.75" customHeight="1" x14ac:dyDescent="0.25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0.32826704320831274</v>
      </c>
      <c r="M25" s="60">
        <f>(1-food_insecure)*(0.49)+food_insecure*(0.7)</f>
        <v>0.49293999999999993</v>
      </c>
      <c r="N25" s="60">
        <f>(1-food_insecure)*(0.49)+food_insecure*(0.7)</f>
        <v>0.49293999999999993</v>
      </c>
      <c r="O25" s="60">
        <f>(1-food_insecure)*(0.49)+food_insecure*(0.7)</f>
        <v>0.49293999999999993</v>
      </c>
    </row>
    <row r="26" spans="1:15" ht="15.75" customHeight="1" x14ac:dyDescent="0.25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0.14068587566070545</v>
      </c>
      <c r="M26" s="60">
        <f>(1-food_insecure)*(0.21)+food_insecure*(0.3)</f>
        <v>0.21126</v>
      </c>
      <c r="N26" s="60">
        <f>(1-food_insecure)*(0.21)+food_insecure*(0.3)</f>
        <v>0.21126</v>
      </c>
      <c r="O26" s="60">
        <f>(1-food_insecure)*(0.21)+food_insecure*(0.3)</f>
        <v>0.21126</v>
      </c>
    </row>
    <row r="27" spans="1:15" ht="15.75" customHeight="1" x14ac:dyDescent="0.25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0.19698419966125474</v>
      </c>
      <c r="M27" s="60">
        <f>(1-food_insecure)*(0.3)</f>
        <v>0.29580000000000001</v>
      </c>
      <c r="N27" s="60">
        <f>(1-food_insecure)*(0.3)</f>
        <v>0.29580000000000001</v>
      </c>
      <c r="O27" s="60">
        <f>(1-food_insecure)*(0.3)</f>
        <v>0.29580000000000001</v>
      </c>
    </row>
    <row r="28" spans="1:15" ht="15.75" customHeight="1" x14ac:dyDescent="0.25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0.33406288146972701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186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V8X0fp42yk38jffjG8kQ+SNVDZAGcTYP+m3DEJFDybkP7Cw31LblDrguEPTOh0dIbM9k6vCZIdfXw4Gtz/FDew==" saltValue="iyampw7Wo2TR6tlkYjGxs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201</v>
      </c>
    </row>
    <row r="2" spans="1:1" x14ac:dyDescent="0.25">
      <c r="A2" s="8" t="s">
        <v>212</v>
      </c>
    </row>
    <row r="3" spans="1:1" x14ac:dyDescent="0.25">
      <c r="A3" s="8" t="s">
        <v>213</v>
      </c>
    </row>
    <row r="4" spans="1:1" x14ac:dyDescent="0.25">
      <c r="A4" s="8" t="s">
        <v>214</v>
      </c>
    </row>
  </sheetData>
  <sheetProtection algorithmName="SHA-512" hashValue="UePd07M54Q+QNiW2nUeMNklnYTWxr1IptzUq91tIINa/c+1UCVt8ty36d3JQ3mbOZD79uHXapnrs0LbydnH85Q==" saltValue="fLX7TgCRpbsdFCUrZAaNp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4" customHeight="1" x14ac:dyDescent="0.3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IUZqEezb8rs19VMuvUhOreygCgBZXQwuuBfC1ilbMpKLR/OB5+fqKvlIWX6KTMrGWxBeHeYFW6hDf2SVn+2dGA==" saltValue="HhB1cTuFS1RCUuUEOzmew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wIuCmTKubVttetSgQBwM7G9IaIaN4I9/YVrD4xe59HfqB/sCnI/QJzjbK4n/c/svSybv4mKtnqjV3WreyiClxA==" saltValue="UEf0LwnBAacsy8J0v+BHOw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5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5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5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5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5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5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5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5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5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5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5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5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5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5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Ee7nutVaNtB/xvTVx/FqlyiSL03+sIWnMck3i4S8pfth+TR9WYrP9IxR5VfYL7qvsf2t/WZg1mD2B9PkOdg0bg==" saltValue="3gHhjctZY1zxPv0ekdWXSw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5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5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5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5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5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5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5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5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5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5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5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5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5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S/fP7rBCkFTS1+Ep1eoCd/f02jrJ6/FwsChPDSs5mDb8JpzfLgkDawwcppfokUcSJ7LIGYflf7//ZLLmGXfstA==" saltValue="sZ8wfz0qVimbERfO0626v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ht="13" customHeight="1" x14ac:dyDescent="0.3">
      <c r="A2" s="4" t="s">
        <v>232</v>
      </c>
      <c r="B2" s="103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109</v>
      </c>
      <c r="C5" s="8" t="s">
        <v>153</v>
      </c>
      <c r="D5" s="88">
        <f>IF(ISBLANK('Dist. l''allaitement maternel'!$C$2),1.56,(1.56-'Dist. l''allaitement maternel'!$C$2)/(1-'Dist. l''allaitement maternel'!$C$2))</f>
        <v>1.9974164445480507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154</v>
      </c>
      <c r="D6" s="88">
        <f>IF(ISBLANK('Dist. l''allaitement maternel'!$C$2),1.56,(1.56-'Dist. l''allaitement maternel'!$C$2)/(1-'Dist. l''allaitement maternel'!$C$2))</f>
        <v>1.9974164445480507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96</v>
      </c>
      <c r="C8" s="8" t="s">
        <v>153</v>
      </c>
      <c r="D8" s="88">
        <v>1</v>
      </c>
      <c r="E8" s="88">
        <f>IF(ISBLANK('Dist. l''allaitement maternel'!$D$2),1.56,(1.56-'Dist. l''allaitement maternel'!$D$2)/(1-'Dist. l''allaitement maternel'!$D$2))</f>
        <v>1.7223140786456346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154</v>
      </c>
      <c r="D9" s="88">
        <v>1</v>
      </c>
      <c r="E9" s="88">
        <f>IF(ISBLANK('Dist. l''allaitement maternel'!$D$2),1.56,(1.56-'Dist. l''allaitement maternel'!$D$2)/(1-'Dist. l''allaitement maternel'!$D$2))</f>
        <v>1.7223140786456346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97</v>
      </c>
      <c r="C11" s="8" t="s">
        <v>153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154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154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100</v>
      </c>
      <c r="C19" s="8" t="s">
        <v>153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154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97</v>
      </c>
      <c r="C28" s="8" t="s">
        <v>153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154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154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156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97</v>
      </c>
      <c r="C45" s="8" t="s">
        <v>153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154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154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156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ht="13" customHeight="1" x14ac:dyDescent="0.3">
      <c r="A55" s="4" t="s">
        <v>236</v>
      </c>
      <c r="B55" s="103" t="s">
        <v>100</v>
      </c>
      <c r="C55" s="8" t="s">
        <v>153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154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109</v>
      </c>
      <c r="C58" s="8" t="s">
        <v>153</v>
      </c>
      <c r="D58" s="88">
        <f>IF(ISBLANK('Dist. l''allaitement maternel'!$C$2),1.37,(1.37-'Dist. l''allaitement maternel'!$C$2)/(1-'Dist. l''allaitement maternel'!$C$2))</f>
        <v>1.6590072937192479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154</v>
      </c>
      <c r="D59" s="88">
        <f>IF(ISBLANK('Dist. l''allaitement maternel'!$C$2),1.37,(1.37-'Dist. l''allaitement maternel'!$C$2)/(1-'Dist. l''allaitement maternel'!$C$2))</f>
        <v>1.6590072937192479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96</v>
      </c>
      <c r="C61" s="8" t="s">
        <v>153</v>
      </c>
      <c r="D61" s="88">
        <f t="shared" si="2"/>
        <v>1</v>
      </c>
      <c r="E61" s="88">
        <f>IF(ISBLANK('Dist. l''allaitement maternel'!$D$2),1.37,(1.37-'Dist. l''allaitement maternel'!$D$2)/(1-'Dist. l''allaitement maternel'!$D$2))</f>
        <v>1.4772432305337229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154</v>
      </c>
      <c r="D62" s="88">
        <f t="shared" si="2"/>
        <v>1</v>
      </c>
      <c r="E62" s="88">
        <f>IF(ISBLANK('Dist. l''allaitement maternel'!$D$2),1.37,(1.37-'Dist. l''allaitement maternel'!$D$2)/(1-'Dist. l''allaitement maternel'!$D$2))</f>
        <v>1.4772432305337229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97</v>
      </c>
      <c r="C64" s="8" t="s">
        <v>153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154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98</v>
      </c>
      <c r="C67" s="8" t="s">
        <v>153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154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156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100</v>
      </c>
      <c r="C72" s="8" t="s">
        <v>153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154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109</v>
      </c>
      <c r="C75" s="8" t="s">
        <v>153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154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96</v>
      </c>
      <c r="C78" s="8" t="s">
        <v>153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154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97</v>
      </c>
      <c r="C81" s="8" t="s">
        <v>153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154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98</v>
      </c>
      <c r="C84" s="8" t="s">
        <v>153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154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156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100</v>
      </c>
      <c r="C89" s="8" t="s">
        <v>153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154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109</v>
      </c>
      <c r="C92" s="8" t="s">
        <v>153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154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96</v>
      </c>
      <c r="C95" s="8" t="s">
        <v>153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154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97</v>
      </c>
      <c r="C98" s="8" t="s">
        <v>153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154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98</v>
      </c>
      <c r="C101" s="8" t="s">
        <v>153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154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156</v>
      </c>
      <c r="C104" s="8" t="s">
        <v>155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ht="13" customHeight="1" x14ac:dyDescent="0.3">
      <c r="A108" s="4" t="s">
        <v>240</v>
      </c>
      <c r="B108" s="103" t="s">
        <v>100</v>
      </c>
      <c r="C108" s="8" t="s">
        <v>153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154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109</v>
      </c>
      <c r="C111" s="8" t="s">
        <v>153</v>
      </c>
      <c r="D111" s="88">
        <f>IF(ISBLANK('Dist. l''allaitement maternel'!$C$2),1.77,(1.77-'Dist. l''allaitement maternel'!$C$2)/(1-'Dist. l''allaitement maternel'!$C$2))</f>
        <v>2.3714476112535698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154</v>
      </c>
      <c r="D112" s="88">
        <f>IF(ISBLANK('Dist. l''allaitement maternel'!$C$2),1.77,(1.77-'Dist. l''allaitement maternel'!$C$2)/(1-'Dist. l''allaitement maternel'!$C$2))</f>
        <v>2.3714476112535698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96</v>
      </c>
      <c r="C114" s="8" t="s">
        <v>153</v>
      </c>
      <c r="D114" s="88">
        <f t="shared" si="12"/>
        <v>1</v>
      </c>
      <c r="E114" s="88">
        <f>IF(ISBLANK('Dist. l''allaitement maternel'!$D$2),1.77,(1.77-'Dist. l''allaitement maternel'!$D$2)/(1-'Dist. l''allaitement maternel'!$D$2))</f>
        <v>1.9931818581377474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154</v>
      </c>
      <c r="D115" s="88">
        <f t="shared" si="12"/>
        <v>1</v>
      </c>
      <c r="E115" s="88">
        <f>IF(ISBLANK('Dist. l''allaitement maternel'!$D$2),1.77,(1.77-'Dist. l''allaitement maternel'!$D$2)/(1-'Dist. l''allaitement maternel'!$D$2))</f>
        <v>1.9931818581377474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97</v>
      </c>
      <c r="C117" s="8" t="s">
        <v>153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154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98</v>
      </c>
      <c r="C120" s="8" t="s">
        <v>153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154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156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100</v>
      </c>
      <c r="C125" s="8" t="s">
        <v>153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154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109</v>
      </c>
      <c r="C128" s="8" t="s">
        <v>153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154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96</v>
      </c>
      <c r="C131" s="8" t="s">
        <v>153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154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97</v>
      </c>
      <c r="C134" s="8" t="s">
        <v>153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154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98</v>
      </c>
      <c r="C137" s="8" t="s">
        <v>153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154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156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100</v>
      </c>
      <c r="C142" s="8" t="s">
        <v>153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154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109</v>
      </c>
      <c r="C145" s="8" t="s">
        <v>153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154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96</v>
      </c>
      <c r="C148" s="8" t="s">
        <v>153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154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97</v>
      </c>
      <c r="C151" s="8" t="s">
        <v>153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154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98</v>
      </c>
      <c r="C154" s="8" t="s">
        <v>153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154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156</v>
      </c>
      <c r="C157" s="8" t="s">
        <v>155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Nq1pbPefWKLilxss4jg1xwKgfnODt5tLa6T8zgenrfkWACgBnLMz1aj4nPKvpeAIXsTX1TQfFZVnOyGYNakrWg==" saltValue="W/25cZUu1DBTxLHalfV+mw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13" sqref="C13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245</v>
      </c>
      <c r="C11" s="74"/>
      <c r="D11" s="75"/>
      <c r="E11" s="75"/>
      <c r="F11" s="75"/>
    </row>
    <row r="12" spans="1:6" ht="15.75" customHeight="1" x14ac:dyDescent="0.3">
      <c r="A12" s="4" t="s">
        <v>246</v>
      </c>
      <c r="C12" s="73"/>
      <c r="D12" s="64"/>
      <c r="E12" s="64"/>
      <c r="F12" s="64"/>
    </row>
    <row r="13" spans="1:6" ht="15.75" customHeight="1" x14ac:dyDescent="0.25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5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79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80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81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37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38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39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40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262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3">
      <c r="A39" s="4" t="s">
        <v>251</v>
      </c>
      <c r="C39" s="73"/>
      <c r="D39" s="64"/>
      <c r="E39" s="64"/>
      <c r="F39" s="64"/>
    </row>
    <row r="40" spans="1:6" ht="15.75" customHeight="1" x14ac:dyDescent="0.25">
      <c r="B40" s="11" t="s">
        <v>256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257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258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5">
      <c r="B45" s="5" t="s">
        <v>78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79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80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81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82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83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84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85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3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5">
      <c r="B58" s="5" t="s">
        <v>37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38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39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40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263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3">
      <c r="A66" s="4" t="s">
        <v>254</v>
      </c>
      <c r="C66" s="73"/>
      <c r="D66" s="64"/>
      <c r="E66" s="64"/>
      <c r="F66" s="64"/>
    </row>
    <row r="67" spans="1:6" ht="15.75" customHeight="1" x14ac:dyDescent="0.25">
      <c r="B67" s="11" t="s">
        <v>259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260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261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5">
      <c r="B72" s="5" t="s">
        <v>78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79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80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81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82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83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84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85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vQmXko+fkSjbXUsLyquigbKCxN9uBJY8BpisTtcBciqpdJc2Srsck0q9GWFZmUgRl9aRlhrcldbY/KaNNw8OVA==" saltValue="oSWGfpmo+6k0EXKAUB6s5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278</v>
      </c>
    </row>
    <row r="29" spans="1:16" ht="13" customHeight="1" x14ac:dyDescent="0.3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271</v>
      </c>
    </row>
    <row r="56" spans="1:16" ht="26" customHeight="1" x14ac:dyDescent="0.3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275</v>
      </c>
    </row>
    <row r="65" spans="1:16" ht="26" customHeight="1" x14ac:dyDescent="0.3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78</v>
      </c>
      <c r="C66" s="3" t="s">
        <v>129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79</v>
      </c>
      <c r="C70" s="3" t="s">
        <v>129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80</v>
      </c>
      <c r="C74" s="3" t="s">
        <v>129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277</v>
      </c>
    </row>
    <row r="104" spans="1:16" ht="26" customHeight="1" x14ac:dyDescent="0.3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ht="13" customHeight="1" x14ac:dyDescent="0.3">
      <c r="A113" s="4"/>
      <c r="B113" s="8" t="s">
        <v>87</v>
      </c>
      <c r="C113" s="3" t="s">
        <v>10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267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268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269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88</v>
      </c>
      <c r="C117" s="3" t="s">
        <v>10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267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268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269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10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267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268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269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91</v>
      </c>
      <c r="C125" s="3" t="s">
        <v>10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267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268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269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89</v>
      </c>
      <c r="C129" s="3" t="s">
        <v>10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267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268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269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95</v>
      </c>
      <c r="C133" s="3" t="s">
        <v>10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267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268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269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ht="13" customHeight="1" x14ac:dyDescent="0.3">
      <c r="A140" s="4"/>
      <c r="B140" s="8" t="s">
        <v>87</v>
      </c>
      <c r="C140" s="3" t="s">
        <v>10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267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209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208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88</v>
      </c>
      <c r="C144" s="3" t="s">
        <v>10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267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209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208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10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267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209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208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91</v>
      </c>
      <c r="C152" s="3" t="s">
        <v>10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267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209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208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89</v>
      </c>
      <c r="C156" s="3" t="s">
        <v>10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267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209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208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95</v>
      </c>
      <c r="C160" s="3" t="s">
        <v>10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267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209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208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ht="13" customHeight="1" x14ac:dyDescent="0.3">
      <c r="A167" s="4"/>
      <c r="B167" s="8" t="s">
        <v>101</v>
      </c>
      <c r="C167" s="3" t="s">
        <v>273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274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102</v>
      </c>
      <c r="C169" s="3" t="s">
        <v>273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274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273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274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ht="13" customHeight="1" x14ac:dyDescent="0.3">
      <c r="A176" s="82"/>
      <c r="B176" s="8" t="s">
        <v>78</v>
      </c>
      <c r="C176" s="3" t="s">
        <v>129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130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131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132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79</v>
      </c>
      <c r="C180" s="3" t="s">
        <v>129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130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131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132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80</v>
      </c>
      <c r="C184" s="3" t="s">
        <v>129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130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131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132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82</v>
      </c>
      <c r="C188" s="3" t="s">
        <v>129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130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131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132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87</v>
      </c>
      <c r="C192" s="3" t="s">
        <v>129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130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131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132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88</v>
      </c>
      <c r="C196" s="3" t="s">
        <v>129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130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131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132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130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131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132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89</v>
      </c>
      <c r="C204" s="3" t="s">
        <v>129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130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131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132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92</v>
      </c>
      <c r="C208" s="3" t="s">
        <v>129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130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131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132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ht="13" customHeight="1" x14ac:dyDescent="0.3">
      <c r="A215" s="4"/>
      <c r="C215" s="3" t="s">
        <v>129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130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131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132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ht="13" customHeight="1" x14ac:dyDescent="0.3">
      <c r="A223" s="4"/>
      <c r="B223" s="8" t="s">
        <v>87</v>
      </c>
      <c r="C223" s="3" t="s">
        <v>10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267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268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269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88</v>
      </c>
      <c r="C227" s="3" t="s">
        <v>10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267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268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269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10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267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268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269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91</v>
      </c>
      <c r="C235" s="3" t="s">
        <v>10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267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268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269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89</v>
      </c>
      <c r="C239" s="3" t="s">
        <v>10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267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268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269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95</v>
      </c>
      <c r="C243" s="3" t="s">
        <v>10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267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268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269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ht="13" customHeight="1" x14ac:dyDescent="0.3">
      <c r="A250" s="4"/>
      <c r="B250" s="8" t="s">
        <v>87</v>
      </c>
      <c r="C250" s="3" t="s">
        <v>10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267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209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208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88</v>
      </c>
      <c r="C254" s="3" t="s">
        <v>10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267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209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208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10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267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209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208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91</v>
      </c>
      <c r="C262" s="3" t="s">
        <v>10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267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209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208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89</v>
      </c>
      <c r="C266" s="3" t="s">
        <v>10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267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209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208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95</v>
      </c>
      <c r="C270" s="3" t="s">
        <v>10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267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209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208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ht="13" customHeight="1" x14ac:dyDescent="0.3">
      <c r="A277" s="4"/>
      <c r="B277" s="8" t="s">
        <v>101</v>
      </c>
      <c r="C277" s="3" t="s">
        <v>273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274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102</v>
      </c>
      <c r="C279" s="3" t="s">
        <v>273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274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273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274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ht="13" customHeight="1" x14ac:dyDescent="0.3">
      <c r="A286" s="82"/>
      <c r="B286" s="8" t="s">
        <v>78</v>
      </c>
      <c r="C286" s="3" t="s">
        <v>129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130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131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132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79</v>
      </c>
      <c r="C290" s="3" t="s">
        <v>129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130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131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132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80</v>
      </c>
      <c r="C294" s="3" t="s">
        <v>129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130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131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132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82</v>
      </c>
      <c r="C298" s="3" t="s">
        <v>129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130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131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132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87</v>
      </c>
      <c r="C302" s="3" t="s">
        <v>129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130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131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132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88</v>
      </c>
      <c r="C306" s="3" t="s">
        <v>129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130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131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132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130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131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132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89</v>
      </c>
      <c r="C314" s="3" t="s">
        <v>129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130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131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132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92</v>
      </c>
      <c r="C318" s="3" t="s">
        <v>129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130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131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132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ht="13" customHeight="1" x14ac:dyDescent="0.3">
      <c r="A325" s="4"/>
      <c r="C325" s="3" t="s">
        <v>129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130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131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132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2zKlPdTxpEvvbFe0TPONkOhBXUvjq/vzGH9zrn7TxyrZRwl/W94at4Zv4cthrFNMcij8gKhFa/t4nz1mMQJeoQ==" saltValue="Y/thnIuYyTCR3ZlsDg8Nh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233</v>
      </c>
    </row>
    <row r="2" spans="1:7" ht="14.25" customHeight="1" x14ac:dyDescent="0.3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5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282</v>
      </c>
    </row>
    <row r="6" spans="1:7" ht="14.25" customHeight="1" x14ac:dyDescent="0.25">
      <c r="B6" s="5" t="s">
        <v>192</v>
      </c>
      <c r="C6" s="90">
        <v>1</v>
      </c>
      <c r="D6" s="90">
        <v>1</v>
      </c>
      <c r="E6" s="90">
        <f>IF(ISBLANK('Dist. de l''état nutritionnel'!$E$4),0.64, (0.64*SUM('Dist. de l''état nutritionnel'!$E$4:$E$5)/(1-0.64*SUM('Dist. de l''état nutritionnel'!$E$4:$E$5)))/ (SUM('Dist. de l''état nutritionnel'!$E$4:$E$5)/(1-SUM('Dist. de l''état nutritionnel'!$E$4:$E$5))))</f>
        <v>0.63967580300237892</v>
      </c>
      <c r="F6" s="90">
        <f>IF(ISBLANK('Dist. de l''état nutritionnel'!$E$4),0.64, (0.64*SUM('Dist. de l''état nutritionnel'!$E$4:$E$5)/(1-0.64*SUM('Dist. de l''état nutritionnel'!$E$4:$E$5)))/ (SUM('Dist. de l''état nutritionnel'!$E$4:$E$5)/(1-SUM('Dist. de l''état nutritionnel'!$E$4:$E$5))))</f>
        <v>0.63967580300237892</v>
      </c>
      <c r="G6" s="90">
        <v>1</v>
      </c>
    </row>
    <row r="7" spans="1:7" ht="14.25" customHeight="1" x14ac:dyDescent="0.25">
      <c r="B7" s="5" t="s">
        <v>185</v>
      </c>
      <c r="C7" s="90">
        <v>1</v>
      </c>
      <c r="D7" s="90">
        <v>1</v>
      </c>
      <c r="E7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0.8798513595127575</v>
      </c>
      <c r="F7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0.8798513595127575</v>
      </c>
      <c r="G7" s="90">
        <v>1</v>
      </c>
    </row>
    <row r="8" spans="1:7" ht="14.25" customHeight="1" x14ac:dyDescent="0.25">
      <c r="B8" s="5" t="s">
        <v>205</v>
      </c>
      <c r="C8" s="90">
        <v>1</v>
      </c>
      <c r="D8" s="90">
        <v>1</v>
      </c>
      <c r="E8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0.8798513595127575</v>
      </c>
      <c r="F8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0.8798513595127575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283</v>
      </c>
    </row>
    <row r="15" spans="1:7" ht="14.25" customHeight="1" x14ac:dyDescent="0.3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288</v>
      </c>
    </row>
    <row r="20" spans="1:7" s="14" customFormat="1" ht="14.25" customHeight="1" x14ac:dyDescent="0.3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5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233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5">
      <c r="B26" s="11" t="s">
        <v>289</v>
      </c>
      <c r="C26" s="90" t="s">
        <v>11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290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291</v>
      </c>
    </row>
    <row r="29" spans="1:7" x14ac:dyDescent="0.25">
      <c r="B29" s="5" t="s">
        <v>292</v>
      </c>
      <c r="C29" s="90">
        <f t="shared" ref="C29:D32" si="0">IF(C6=1,1,C6*0.9)</f>
        <v>1</v>
      </c>
      <c r="D29" s="90">
        <f t="shared" si="0"/>
        <v>1</v>
      </c>
      <c r="E29" s="90">
        <f>IF(ISBLANK('Dist. de l''état nutritionnel'!$E$4),0.44, (0.44*SUM('Dist. de l''état nutritionnel'!$E$4:$E$5)/(1-0.44*SUM('Dist. de l''état nutritionnel'!$E$4:$E$5)))/ (SUM('Dist. de l''état nutritionnel'!$E$4:$E$5)/(1-SUM('Dist. de l''état nutritionnel'!$E$4:$E$5))))</f>
        <v>0.43965338686620498</v>
      </c>
      <c r="F29" s="90">
        <f>IF(ISBLANK('Dist. de l''état nutritionnel'!$E$4),0.44, (0.44*SUM('Dist. de l''état nutritionnel'!$E$4:$E$5)/(1-0.44*SUM('Dist. de l''état nutritionnel'!$E$4:$E$5)))/ (SUM('Dist. de l''état nutritionnel'!$E$4:$E$5)/(1-SUM('Dist. de l''état nutritionnel'!$E$4:$E$5))))</f>
        <v>0.43965338686620498</v>
      </c>
      <c r="G29" s="90">
        <f>IF(G6=1,1,G6*0.9)</f>
        <v>1</v>
      </c>
    </row>
    <row r="30" spans="1:7" x14ac:dyDescent="0.25">
      <c r="B30" s="5" t="s">
        <v>293</v>
      </c>
      <c r="C30" s="90">
        <f t="shared" si="0"/>
        <v>1</v>
      </c>
      <c r="D30" s="90">
        <f t="shared" si="0"/>
        <v>1</v>
      </c>
      <c r="E30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0.84982054108070459</v>
      </c>
      <c r="F30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0.84982054108070459</v>
      </c>
      <c r="G30" s="90">
        <f>IF(G7=1,1,G7*0.9)</f>
        <v>1</v>
      </c>
    </row>
    <row r="31" spans="1:7" x14ac:dyDescent="0.25">
      <c r="B31" s="5" t="s">
        <v>315</v>
      </c>
      <c r="C31" s="90">
        <f t="shared" si="0"/>
        <v>1</v>
      </c>
      <c r="D31" s="90">
        <f t="shared" si="0"/>
        <v>1</v>
      </c>
      <c r="E31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0.84982054108070459</v>
      </c>
      <c r="F31" s="90">
        <f>IF(ISBLANK('Dist. de l''état nutritionnel'!$E$4),0.85, (0.85*SUM('Dist. de l''état nutritionnel'!$E$4:$E$5)/(1-0.85*SUM('Dist. de l''état nutritionnel'!$E$4:$E$5)))/ (SUM('Dist. de l''état nutritionnel'!$E$4:$E$5)/(1-SUM('Dist. de l''état nutritionnel'!$E$4:$E$5))))</f>
        <v>0.84982054108070459</v>
      </c>
      <c r="G31" s="90">
        <f>IF(G8=1,1,G8*0.9)</f>
        <v>1</v>
      </c>
    </row>
    <row r="32" spans="1:7" x14ac:dyDescent="0.25">
      <c r="B32" s="5" t="s">
        <v>294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295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283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279</v>
      </c>
      <c r="B38" s="5" t="s">
        <v>297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298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121</v>
      </c>
      <c r="B40" s="11" t="s">
        <v>299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300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5">
      <c r="B44" s="11" t="s">
        <v>301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233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5">
      <c r="B49" s="11" t="s">
        <v>302</v>
      </c>
      <c r="C49" s="90" t="s">
        <v>11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303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304</v>
      </c>
    </row>
    <row r="52" spans="1:7" x14ac:dyDescent="0.25">
      <c r="B52" s="5" t="s">
        <v>305</v>
      </c>
      <c r="C52" s="90">
        <f t="shared" ref="C52:D55" si="3">IF(C6=1,1,C6*1.1)</f>
        <v>1</v>
      </c>
      <c r="D52" s="90">
        <f t="shared" si="3"/>
        <v>1</v>
      </c>
      <c r="E52" s="90">
        <f>IF(ISBLANK('Dist. de l''état nutritionnel'!$E$4),0.92, (0.92*SUM('Dist. de l''état nutritionnel'!$E$4:$E$5)/(1-0.92*SUM('Dist. de l''état nutritionnel'!$E$4:$E$5)))/ (SUM('Dist. de l''état nutritionnel'!$E$4:$E$5)/(1-SUM('Dist. de l''état nutritionnel'!$E$4:$E$5))))</f>
        <v>0.91989639625142505</v>
      </c>
      <c r="F52" s="90">
        <f>IF(ISBLANK('Dist. de l''état nutritionnel'!$E$4),0.92, (0.92*SUM('Dist. de l''état nutritionnel'!$E$4:$E$5)/(1-0.92*SUM('Dist. de l''état nutritionnel'!$E$4:$E$5)))/ (SUM('Dist. de l''état nutritionnel'!$E$4:$E$5)/(1-SUM('Dist. de l''état nutritionnel'!$E$4:$E$5))))</f>
        <v>0.91989639625142505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0.90988471429934803</v>
      </c>
      <c r="F53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0.90988471429934803</v>
      </c>
      <c r="G53" s="90">
        <f>IF(G7=1,1,G7*1.1)</f>
        <v>1</v>
      </c>
    </row>
    <row r="54" spans="1:7" x14ac:dyDescent="0.25">
      <c r="B54" s="5" t="s">
        <v>316</v>
      </c>
      <c r="C54" s="90">
        <f t="shared" si="3"/>
        <v>1</v>
      </c>
      <c r="D54" s="90">
        <f t="shared" si="3"/>
        <v>1</v>
      </c>
      <c r="E54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0.90988471429934803</v>
      </c>
      <c r="F54" s="90">
        <f>IF(ISBLANK('Dist. de l''état nutritionnel'!$E$4),0.91, (0.91*SUM('Dist. de l''état nutritionnel'!$E$4:$E$5)/(1-0.91*SUM('Dist. de l''état nutritionnel'!$E$4:$E$5)))/ (SUM('Dist. de l''état nutritionnel'!$E$4:$E$5)/(1-SUM('Dist. de l''état nutritionnel'!$E$4:$E$5))))</f>
        <v>0.90988471429934803</v>
      </c>
      <c r="G54" s="90">
        <f>IF(G8=1,1,G8*1.1)</f>
        <v>1</v>
      </c>
    </row>
    <row r="55" spans="1:7" x14ac:dyDescent="0.25">
      <c r="B55" s="5" t="s">
        <v>307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308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283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279</v>
      </c>
      <c r="B61" s="5" t="s">
        <v>310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311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121</v>
      </c>
      <c r="B63" s="11" t="s">
        <v>312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313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5">
      <c r="B67" s="11" t="s">
        <v>314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bH5xm2gQDmr+j8XYsqsLWTEQ7WmuNnhtOvWuwQkR28ycHa94Rgrg5wUe5OC9WuHh3G0CD3ReX1GClzhrW9XquA==" saltValue="QbbprhpLtFhT2HSaaYKNi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5">
      <c r="A2" s="5" t="s">
        <v>168</v>
      </c>
      <c r="B2" s="5" t="s">
        <v>317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180</v>
      </c>
      <c r="B4" s="5" t="s">
        <v>317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181</v>
      </c>
      <c r="B6" s="5" t="s">
        <v>317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190</v>
      </c>
      <c r="B12" s="5" t="s">
        <v>317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5">
      <c r="A17" s="5" t="s">
        <v>168</v>
      </c>
      <c r="B17" s="5" t="s">
        <v>317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318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180</v>
      </c>
      <c r="B19" s="5" t="s">
        <v>317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318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181</v>
      </c>
      <c r="B21" s="5" t="s">
        <v>317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318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182</v>
      </c>
      <c r="B23" s="5" t="s">
        <v>317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318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186</v>
      </c>
      <c r="B25" s="5" t="s">
        <v>317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318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190</v>
      </c>
      <c r="B27" s="5" t="s">
        <v>317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318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5">
      <c r="A32" s="5" t="s">
        <v>168</v>
      </c>
      <c r="B32" s="5" t="s">
        <v>317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318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180</v>
      </c>
      <c r="B34" s="5" t="s">
        <v>317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318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181</v>
      </c>
      <c r="B36" s="5" t="s">
        <v>317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318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182</v>
      </c>
      <c r="B38" s="5" t="s">
        <v>317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318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186</v>
      </c>
      <c r="B40" s="5" t="s">
        <v>317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318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190</v>
      </c>
      <c r="B42" s="5" t="s">
        <v>317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318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u6xtidKhBOy7T42mZvhmW7yyI1RhZVF2A8hbBh5piozIUWE0minbVTnTJHwYaHiWxXyZyb0r2VQAKjq5E4Zt4A==" saltValue="En5UZjEB3fybL7qywEq6r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ht="13" customHeight="1" x14ac:dyDescent="0.3">
      <c r="A2" s="4" t="s">
        <v>319</v>
      </c>
    </row>
    <row r="3" spans="1:15" x14ac:dyDescent="0.25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205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320</v>
      </c>
      <c r="B17" s="11"/>
    </row>
    <row r="18" spans="1:15" x14ac:dyDescent="0.25">
      <c r="B18" s="5" t="s">
        <v>173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174</v>
      </c>
      <c r="C19" s="90">
        <v>1</v>
      </c>
      <c r="D19" s="90">
        <v>1</v>
      </c>
      <c r="E19" s="90">
        <f>IF(ISBLANK('Dist. de l''état nutritionnel'!E$14),0.72,(0.72*'Dist. de l''état nutritionnel'!E$14/(1-0.72*'Dist. de l''état nutritionnel'!E$14))
/ ('Dist. de l''état nutritionnel'!E$14/(1-'Dist. de l''état nutritionnel'!E$14)))</f>
        <v>0.11156552306897574</v>
      </c>
      <c r="F19" s="90">
        <f>IF(ISBLANK('Dist. de l''état nutritionnel'!F$14),0.72,(0.72*'Dist. de l''état nutritionnel'!F$14/(1-0.72*'Dist. de l''état nutritionnel'!F$14))
/ ('Dist. de l''état nutritionnel'!F$14/(1-'Dist. de l''état nutritionnel'!F$14)))</f>
        <v>0.37431425521754819</v>
      </c>
      <c r="G19" s="90">
        <f>IF(ISBLANK('Dist. de l''état nutritionnel'!G$14),0.72,(0.72*'Dist. de l''état nutritionnel'!G$14/(1-0.72*'Dist. de l''état nutritionnel'!G$14))
/ ('Dist. de l''état nutritionnel'!G$14/(1-'Dist. de l''état nutritionnel'!G$14)))</f>
        <v>0.37431425521754819</v>
      </c>
      <c r="H19" s="90">
        <f>IF(ISBLANK('Dist. de l''état nutritionnel'!H$14),0.72,(0.72*'Dist. de l''état nutritionnel'!H$14/(1-0.72*'Dist. de l''état nutritionnel'!H$14))
/ ('Dist. de l''état nutritionnel'!H$14/(1-'Dist. de l''état nutritionnel'!H$14)))</f>
        <v>0.65943368687360127</v>
      </c>
      <c r="I19" s="90">
        <f>IF(ISBLANK('Dist. de l''état nutritionnel'!I$14),0.72,(0.72*'Dist. de l''état nutritionnel'!I$14/(1-0.72*'Dist. de l''état nutritionnel'!I$14))
/ ('Dist. de l''état nutritionnel'!I$14/(1-'Dist. de l''état nutritionnel'!I$14)))</f>
        <v>0.65943368687360127</v>
      </c>
      <c r="J19" s="90">
        <f>IF(ISBLANK('Dist. de l''état nutritionnel'!J$14),0.72,(0.72*'Dist. de l''état nutritionnel'!J$14/(1-0.72*'Dist. de l''état nutritionnel'!J$14))
/ ('Dist. de l''état nutritionnel'!J$14/(1-'Dist. de l''état nutritionnel'!J$14)))</f>
        <v>0.65943368687360127</v>
      </c>
      <c r="K19" s="90">
        <f>IF(ISBLANK('Dist. de l''état nutritionnel'!K$14),0.72,(0.72*'Dist. de l''état nutritionnel'!K$14/(1-0.72*'Dist. de l''état nutritionnel'!K$14))
/ ('Dist. de l''état nutritionnel'!K$14/(1-'Dist. de l''état nutritionnel'!K$14)))</f>
        <v>0.65943368687360127</v>
      </c>
      <c r="L19" s="90">
        <f>IF(ISBLANK('Dist. de l''état nutritionnel'!L$14),0.72,(0.72*'Dist. de l''état nutritionnel'!L$14/(1-0.72*'Dist. de l''état nutritionnel'!L$14))
/ ('Dist. de l''état nutritionnel'!L$14/(1-'Dist. de l''état nutritionnel'!L$14)))</f>
        <v>0.68710888610763443</v>
      </c>
      <c r="M19" s="90">
        <f>IF(ISBLANK('Dist. de l''état nutritionnel'!M$14),0.72,(0.72*'Dist. de l''état nutritionnel'!M$14/(1-0.72*'Dist. de l''état nutritionnel'!M$14))
/ ('Dist. de l''état nutritionnel'!M$14/(1-'Dist. de l''état nutritionnel'!M$14)))</f>
        <v>0.68710888610763443</v>
      </c>
      <c r="N19" s="90">
        <f>IF(ISBLANK('Dist. de l''état nutritionnel'!N$14),0.72,(0.72*'Dist. de l''état nutritionnel'!N$14/(1-0.72*'Dist. de l''état nutritionnel'!N$14))
/ ('Dist. de l''état nutritionnel'!N$14/(1-'Dist. de l''état nutritionnel'!N$14)))</f>
        <v>0.68710888610763443</v>
      </c>
      <c r="O19" s="90">
        <f>IF(ISBLANK('Dist. de l''état nutritionnel'!O$14),0.72,(0.72*'Dist. de l''état nutritionnel'!O$14/(1-0.72*'Dist. de l''état nutritionnel'!O$14))
/ ('Dist. de l''état nutritionnel'!O$14/(1-'Dist. de l''état nutritionnel'!O$14)))</f>
        <v>0.68710888610763443</v>
      </c>
    </row>
    <row r="20" spans="1:15" x14ac:dyDescent="0.25">
      <c r="B20" s="5" t="s">
        <v>175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183</v>
      </c>
      <c r="C21" s="90">
        <v>1</v>
      </c>
      <c r="D21" s="90">
        <v>1</v>
      </c>
      <c r="E21" s="90">
        <f>IF(ISBLANK('Dist. de l''état nutritionnel'!E$14),0.8,(0.8*'Dist. de l''état nutritionnel'!E$14/(1-0.8*'Dist. de l''état nutritionnel'!E$14))
/ ('Dist. de l''état nutritionnel'!E$14/(1-'Dist. de l''état nutritionnel'!E$14)))</f>
        <v>0.16341760762226323</v>
      </c>
      <c r="F21" s="90">
        <f>IF(ISBLANK('Dist. de l''état nutritionnel'!F$14),0.8,(0.8*'Dist. de l''état nutritionnel'!F$14/(1-0.8*'Dist. de l''état nutritionnel'!F$14))
/ ('Dist. de l''état nutritionnel'!F$14/(1-'Dist. de l''état nutritionnel'!F$14)))</f>
        <v>0.48202779892287062</v>
      </c>
      <c r="G21" s="90">
        <f>IF(ISBLANK('Dist. de l''état nutritionnel'!G$14),0.8,(0.8*'Dist. de l''état nutritionnel'!G$14/(1-0.8*'Dist. de l''état nutritionnel'!G$14))
/ ('Dist. de l''état nutritionnel'!G$14/(1-'Dist. de l''état nutritionnel'!G$14)))</f>
        <v>0.48202779892287062</v>
      </c>
      <c r="H21" s="90">
        <f>IF(ISBLANK('Dist. de l''état nutritionnel'!H$14),0.8,(0.8*'Dist. de l''état nutritionnel'!H$14/(1-0.8*'Dist. de l''état nutritionnel'!H$14))
/ ('Dist. de l''état nutritionnel'!H$14/(1-'Dist. de l''état nutritionnel'!H$14)))</f>
        <v>0.75074775672981064</v>
      </c>
      <c r="I21" s="90">
        <f>IF(ISBLANK('Dist. de l''état nutritionnel'!I$14),0.8,(0.8*'Dist. de l''état nutritionnel'!I$14/(1-0.8*'Dist. de l''état nutritionnel'!I$14))
/ ('Dist. de l''état nutritionnel'!I$14/(1-'Dist. de l''état nutritionnel'!I$14)))</f>
        <v>0.75074775672981064</v>
      </c>
      <c r="J21" s="90">
        <f>IF(ISBLANK('Dist. de l''état nutritionnel'!J$14),0.8,(0.8*'Dist. de l''état nutritionnel'!J$14/(1-0.8*'Dist. de l''état nutritionnel'!J$14))
/ ('Dist. de l''état nutritionnel'!J$14/(1-'Dist. de l''état nutritionnel'!J$14)))</f>
        <v>0.75074775672981064</v>
      </c>
      <c r="K21" s="90">
        <f>IF(ISBLANK('Dist. de l''état nutritionnel'!K$14),0.8,(0.8*'Dist. de l''état nutritionnel'!K$14/(1-0.8*'Dist. de l''état nutritionnel'!K$14))
/ ('Dist. de l''état nutritionnel'!K$14/(1-'Dist. de l''état nutritionnel'!K$14)))</f>
        <v>0.75074775672981064</v>
      </c>
      <c r="L21" s="90">
        <f>IF(ISBLANK('Dist. de l''état nutritionnel'!L$14),0.8,(0.8*'Dist. de l''état nutritionnel'!L$14/(1-0.8*'Dist. de l''état nutritionnel'!L$14))
/ ('Dist. de l''état nutritionnel'!L$14/(1-'Dist. de l''état nutritionnel'!L$14)))</f>
        <v>0.77355072463768115</v>
      </c>
      <c r="M21" s="90">
        <f>IF(ISBLANK('Dist. de l''état nutritionnel'!M$14),0.8,(0.8*'Dist. de l''état nutritionnel'!M$14/(1-0.8*'Dist. de l''état nutritionnel'!M$14))
/ ('Dist. de l''état nutritionnel'!M$14/(1-'Dist. de l''état nutritionnel'!M$14)))</f>
        <v>0.77355072463768115</v>
      </c>
      <c r="N21" s="90">
        <f>IF(ISBLANK('Dist. de l''état nutritionnel'!N$14),0.8,(0.8*'Dist. de l''état nutritionnel'!N$14/(1-0.8*'Dist. de l''état nutritionnel'!N$14))
/ ('Dist. de l''état nutritionnel'!N$14/(1-'Dist. de l''état nutritionnel'!N$14)))</f>
        <v>0.77355072463768115</v>
      </c>
      <c r="O21" s="90">
        <f>IF(ISBLANK('Dist. de l''état nutritionnel'!O$14),0.8,(0.8*'Dist. de l''état nutritionnel'!O$14/(1-0.8*'Dist. de l''état nutritionnel'!O$14))
/ ('Dist. de l''état nutritionnel'!O$14/(1-'Dist. de l''état nutritionnel'!O$14)))</f>
        <v>0.77355072463768115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ht="13" customHeight="1" x14ac:dyDescent="0.3">
      <c r="A25" s="4" t="s">
        <v>321</v>
      </c>
    </row>
    <row r="26" spans="1:15" x14ac:dyDescent="0.25">
      <c r="B26" s="11" t="s">
        <v>171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176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177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178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179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180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181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182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185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186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189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190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205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323</v>
      </c>
      <c r="B40" s="11"/>
    </row>
    <row r="41" spans="1:15" x14ac:dyDescent="0.25">
      <c r="B41" s="5" t="s">
        <v>173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174</v>
      </c>
      <c r="C42" s="90">
        <f t="shared" ref="C42:D44" si="14">IF(C19=1,1,C19*0.9)</f>
        <v>1</v>
      </c>
      <c r="D42" s="90">
        <f t="shared" si="14"/>
        <v>1</v>
      </c>
      <c r="E42" s="90">
        <f>IF(ISBLANK('Dist. de l''état nutritionnel'!E$14),0.54,(0.54*'Dist. de l''état nutritionnel'!E$14/(1-0.54*'Dist. de l''état nutritionnel'!E$14))
/ ('Dist. de l''état nutritionnel'!E$14/(1-'Dist. de l''état nutritionnel'!E$14)))</f>
        <v>5.4219607759929872E-2</v>
      </c>
      <c r="F42" s="90">
        <f>IF(ISBLANK('Dist. de l''état nutritionnel'!F$14),0.54,(0.54*'Dist. de l''état nutritionnel'!F$14/(1-0.54*'Dist. de l''état nutritionnel'!F$14))
/ ('Dist. de l''état nutritionnel'!F$14/(1-'Dist. de l''état nutritionnel'!F$14)))</f>
        <v>0.21452345804823927</v>
      </c>
      <c r="G42" s="90">
        <f>IF(ISBLANK('Dist. de l''état nutritionnel'!G$14),0.54,(0.54*'Dist. de l''état nutritionnel'!G$14/(1-0.54*'Dist. de l''état nutritionnel'!G$14))
/ ('Dist. de l''état nutritionnel'!G$14/(1-'Dist. de l''état nutritionnel'!G$14)))</f>
        <v>0.21452345804823927</v>
      </c>
      <c r="H42" s="90">
        <f>IF(ISBLANK('Dist. de l''état nutritionnel'!H$14),0.54,(0.54*'Dist. de l''état nutritionnel'!H$14/(1-0.54*'Dist. de l''état nutritionnel'!H$14))
/ ('Dist. de l''état nutritionnel'!H$14/(1-'Dist. de l''état nutritionnel'!H$14)))</f>
        <v>0.46920218781011286</v>
      </c>
      <c r="I42" s="90">
        <f>IF(ISBLANK('Dist. de l''état nutritionnel'!I$14),0.54,(0.54*'Dist. de l''état nutritionnel'!I$14/(1-0.54*'Dist. de l''état nutritionnel'!I$14))
/ ('Dist. de l''état nutritionnel'!I$14/(1-'Dist. de l''état nutritionnel'!I$14)))</f>
        <v>0.46920218781011286</v>
      </c>
      <c r="J42" s="90">
        <f>IF(ISBLANK('Dist. de l''état nutritionnel'!J$14),0.54,(0.54*'Dist. de l''état nutritionnel'!J$14/(1-0.54*'Dist. de l''état nutritionnel'!J$14))
/ ('Dist. de l''état nutritionnel'!J$14/(1-'Dist. de l''état nutritionnel'!J$14)))</f>
        <v>0.46920218781011286</v>
      </c>
      <c r="K42" s="90">
        <f>IF(ISBLANK('Dist. de l''état nutritionnel'!K$14),0.54,(0.54*'Dist. de l''état nutritionnel'!K$14/(1-0.54*'Dist. de l''état nutritionnel'!K$14))
/ ('Dist. de l''état nutritionnel'!K$14/(1-'Dist. de l''état nutritionnel'!K$14)))</f>
        <v>0.46920218781011286</v>
      </c>
      <c r="L42" s="90">
        <f>IF(ISBLANK('Dist. de l''état nutritionnel'!L$14),0.54,(0.54*'Dist. de l''état nutritionnel'!L$14/(1-0.54*'Dist. de l''état nutritionnel'!L$14))
/ ('Dist. de l''état nutritionnel'!L$14/(1-'Dist. de l''état nutritionnel'!L$14)))</f>
        <v>0.50062964088757644</v>
      </c>
      <c r="M42" s="90">
        <f>IF(ISBLANK('Dist. de l''état nutritionnel'!M$14),0.54,(0.54*'Dist. de l''état nutritionnel'!M$14/(1-0.54*'Dist. de l''état nutritionnel'!M$14))
/ ('Dist. de l''état nutritionnel'!M$14/(1-'Dist. de l''état nutritionnel'!M$14)))</f>
        <v>0.50062964088757644</v>
      </c>
      <c r="N42" s="90">
        <f>IF(ISBLANK('Dist. de l''état nutritionnel'!N$14),0.54,(0.54*'Dist. de l''état nutritionnel'!N$14/(1-0.54*'Dist. de l''état nutritionnel'!N$14))
/ ('Dist. de l''état nutritionnel'!N$14/(1-'Dist. de l''état nutritionnel'!N$14)))</f>
        <v>0.50062964088757644</v>
      </c>
      <c r="O42" s="90">
        <f>IF(ISBLANK('Dist. de l''état nutritionnel'!O$14),0.54,(0.54*'Dist. de l''état nutritionnel'!O$14/(1-0.54*'Dist. de l''état nutritionnel'!O$14))
/ ('Dist. de l''état nutritionnel'!O$14/(1-'Dist. de l''état nutritionnel'!O$14)))</f>
        <v>0.50062964088757644</v>
      </c>
    </row>
    <row r="43" spans="1:15" x14ac:dyDescent="0.25">
      <c r="B43" s="5" t="s">
        <v>175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183</v>
      </c>
      <c r="C44" s="90">
        <f t="shared" si="14"/>
        <v>1</v>
      </c>
      <c r="D44" s="90">
        <f t="shared" si="14"/>
        <v>1</v>
      </c>
      <c r="E44" s="90">
        <f>IF(ISBLANK('Dist. de l''état nutritionnel'!E$14),0.7,(0.7*'Dist. de l''état nutritionnel'!E$14/(1-0.7*'Dist. de l''état nutritionnel'!E$14))
/ ('Dist. de l''état nutritionnel'!E$14/(1-'Dist. de l''état nutritionnel'!E$14)))</f>
        <v>0.10229207358998513</v>
      </c>
      <c r="F44" s="90">
        <f>IF(ISBLANK('Dist. de l''état nutritionnel'!F$14),0.7,(0.7*'Dist. de l''état nutritionnel'!F$14/(1-0.7*'Dist. de l''état nutritionnel'!F$14))
/ ('Dist. de l''état nutritionnel'!F$14/(1-'Dist. de l''état nutritionnel'!F$14)))</f>
        <v>0.35185020831533975</v>
      </c>
      <c r="G44" s="90">
        <f>IF(ISBLANK('Dist. de l''état nutritionnel'!G$14),0.7,(0.7*'Dist. de l''état nutritionnel'!G$14/(1-0.7*'Dist. de l''état nutritionnel'!G$14))
/ ('Dist. de l''état nutritionnel'!G$14/(1-'Dist. de l''état nutritionnel'!G$14)))</f>
        <v>0.35185020831533975</v>
      </c>
      <c r="H44" s="90">
        <f>IF(ISBLANK('Dist. de l''état nutritionnel'!H$14),0.7,(0.7*'Dist. de l''état nutritionnel'!H$14/(1-0.7*'Dist. de l''état nutritionnel'!H$14))
/ ('Dist. de l''état nutritionnel'!H$14/(1-'Dist. de l''état nutritionnel'!H$14)))</f>
        <v>0.63728690605730876</v>
      </c>
      <c r="I44" s="90">
        <f>IF(ISBLANK('Dist. de l''état nutritionnel'!I$14),0.7,(0.7*'Dist. de l''état nutritionnel'!I$14/(1-0.7*'Dist. de l''état nutritionnel'!I$14))
/ ('Dist. de l''état nutritionnel'!I$14/(1-'Dist. de l''état nutritionnel'!I$14)))</f>
        <v>0.63728690605730876</v>
      </c>
      <c r="J44" s="90">
        <f>IF(ISBLANK('Dist. de l''état nutritionnel'!J$14),0.7,(0.7*'Dist. de l''état nutritionnel'!J$14/(1-0.7*'Dist. de l''état nutritionnel'!J$14))
/ ('Dist. de l''état nutritionnel'!J$14/(1-'Dist. de l''état nutritionnel'!J$14)))</f>
        <v>0.63728690605730876</v>
      </c>
      <c r="K44" s="90">
        <f>IF(ISBLANK('Dist. de l''état nutritionnel'!K$14),0.7,(0.7*'Dist. de l''état nutritionnel'!K$14/(1-0.7*'Dist. de l''état nutritionnel'!K$14))
/ ('Dist. de l''état nutritionnel'!K$14/(1-'Dist. de l''état nutritionnel'!K$14)))</f>
        <v>0.63728690605730876</v>
      </c>
      <c r="L44" s="90">
        <f>IF(ISBLANK('Dist. de l''état nutritionnel'!L$14),0.7,(0.7*'Dist. de l''état nutritionnel'!L$14/(1-0.7*'Dist. de l''état nutritionnel'!L$14))
/ ('Dist. de l''état nutritionnel'!L$14/(1-'Dist. de l''état nutritionnel'!L$14)))</f>
        <v>0.66584985520160378</v>
      </c>
      <c r="M44" s="90">
        <f>IF(ISBLANK('Dist. de l''état nutritionnel'!M$14),0.7,(0.7*'Dist. de l''état nutritionnel'!M$14/(1-0.7*'Dist. de l''état nutritionnel'!M$14))
/ ('Dist. de l''état nutritionnel'!M$14/(1-'Dist. de l''état nutritionnel'!M$14)))</f>
        <v>0.66584985520160378</v>
      </c>
      <c r="N44" s="90">
        <f>IF(ISBLANK('Dist. de l''état nutritionnel'!N$14),0.7,(0.7*'Dist. de l''état nutritionnel'!N$14/(1-0.7*'Dist. de l''état nutritionnel'!N$14))
/ ('Dist. de l''état nutritionnel'!N$14/(1-'Dist. de l''état nutritionnel'!N$14)))</f>
        <v>0.66584985520160378</v>
      </c>
      <c r="O44" s="90">
        <f>IF(ISBLANK('Dist. de l''état nutritionnel'!O$14),0.7,(0.7*'Dist. de l''état nutritionnel'!O$14/(1-0.7*'Dist. de l''état nutritionnel'!O$14))
/ ('Dist. de l''état nutritionnel'!O$14/(1-'Dist. de l''état nutritionnel'!O$14)))</f>
        <v>0.66584985520160378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ht="13" customHeight="1" x14ac:dyDescent="0.3">
      <c r="A48" s="4" t="s">
        <v>322</v>
      </c>
    </row>
    <row r="49" spans="1:15" x14ac:dyDescent="0.25">
      <c r="B49" s="11" t="s">
        <v>171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176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177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178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179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180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181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182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185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186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189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190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205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324</v>
      </c>
      <c r="B63" s="11"/>
    </row>
    <row r="64" spans="1:15" x14ac:dyDescent="0.25">
      <c r="B64" s="5" t="s">
        <v>173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174</v>
      </c>
      <c r="C65" s="90">
        <f t="shared" ref="C65:D67" si="30">IF(C19=1,1,C19*1.05)</f>
        <v>1</v>
      </c>
      <c r="D65" s="90">
        <f t="shared" si="30"/>
        <v>1</v>
      </c>
      <c r="E65" s="90">
        <f>IF(ISBLANK('Dist. de l''état nutritionnel'!E$14),0.97,(0.97*'Dist. de l''état nutritionnel'!E$14/(1-0.97*'Dist. de l''état nutritionnel'!E$14))
/ ('Dist. de l''état nutritionnel'!E$14/(1-'Dist. de l''état nutritionnel'!E$14)))</f>
        <v>0.61225198399776215</v>
      </c>
      <c r="F65" s="90">
        <f>IF(ISBLANK('Dist. de l''état nutritionnel'!F$14),0.97,(0.97*'Dist. de l''état nutritionnel'!F$14/(1-0.97*'Dist. de l''état nutritionnel'!F$14))
/ ('Dist. de l''état nutritionnel'!F$14/(1-'Dist. de l''état nutritionnel'!F$14)))</f>
        <v>0.88266208883925845</v>
      </c>
      <c r="G65" s="90">
        <f>IF(ISBLANK('Dist. de l''état nutritionnel'!G$14),0.97,(0.97*'Dist. de l''état nutritionnel'!G$14/(1-0.97*'Dist. de l''état nutritionnel'!G$14))
/ ('Dist. de l''état nutritionnel'!G$14/(1-'Dist. de l''état nutritionnel'!G$14)))</f>
        <v>0.88266208883925845</v>
      </c>
      <c r="H65" s="90">
        <f>IF(ISBLANK('Dist. de l''état nutritionnel'!H$14),0.97,(0.97*'Dist. de l''état nutritionnel'!H$14/(1-0.97*'Dist. de l''état nutritionnel'!H$14))
/ ('Dist. de l''état nutritionnel'!H$14/(1-'Dist. de l''état nutritionnel'!H$14)))</f>
        <v>0.96054759932141875</v>
      </c>
      <c r="I65" s="90">
        <f>IF(ISBLANK('Dist. de l''état nutritionnel'!I$14),0.97,(0.97*'Dist. de l''état nutritionnel'!I$14/(1-0.97*'Dist. de l''état nutritionnel'!I$14))
/ ('Dist. de l''état nutritionnel'!I$14/(1-'Dist. de l''état nutritionnel'!I$14)))</f>
        <v>0.96054759932141875</v>
      </c>
      <c r="J65" s="90">
        <f>IF(ISBLANK('Dist. de l''état nutritionnel'!J$14),0.97,(0.97*'Dist. de l''état nutritionnel'!J$14/(1-0.97*'Dist. de l''état nutritionnel'!J$14))
/ ('Dist. de l''état nutritionnel'!J$14/(1-'Dist. de l''état nutritionnel'!J$14)))</f>
        <v>0.96054759932141875</v>
      </c>
      <c r="K65" s="90">
        <f>IF(ISBLANK('Dist. de l''état nutritionnel'!K$14),0.97,(0.97*'Dist. de l''état nutritionnel'!K$14/(1-0.97*'Dist. de l''état nutritionnel'!K$14))
/ ('Dist. de l''état nutritionnel'!K$14/(1-'Dist. de l''état nutritionnel'!K$14)))</f>
        <v>0.96054759932141875</v>
      </c>
      <c r="L65" s="90">
        <f>IF(ISBLANK('Dist. de l''état nutritionnel'!L$14),0.97,(0.97*'Dist. de l''état nutritionnel'!L$14/(1-0.97*'Dist. de l''état nutritionnel'!L$14))
/ ('Dist. de l''état nutritionnel'!L$14/(1-'Dist. de l''état nutritionnel'!L$14)))</f>
        <v>0.96505044385936301</v>
      </c>
      <c r="M65" s="90">
        <f>IF(ISBLANK('Dist. de l''état nutritionnel'!M$14),0.97,(0.97*'Dist. de l''état nutritionnel'!M$14/(1-0.97*'Dist. de l''état nutritionnel'!M$14))
/ ('Dist. de l''état nutritionnel'!M$14/(1-'Dist. de l''état nutritionnel'!M$14)))</f>
        <v>0.96505044385936301</v>
      </c>
      <c r="N65" s="90">
        <f>IF(ISBLANK('Dist. de l''état nutritionnel'!N$14),0.97,(0.97*'Dist. de l''état nutritionnel'!N$14/(1-0.97*'Dist. de l''état nutritionnel'!N$14))
/ ('Dist. de l''état nutritionnel'!N$14/(1-'Dist. de l''état nutritionnel'!N$14)))</f>
        <v>0.96505044385936301</v>
      </c>
      <c r="O65" s="90">
        <f>IF(ISBLANK('Dist. de l''état nutritionnel'!O$14),0.97,(0.97*'Dist. de l''état nutritionnel'!O$14/(1-0.97*'Dist. de l''état nutritionnel'!O$14))
/ ('Dist. de l''état nutritionnel'!O$14/(1-'Dist. de l''état nutritionnel'!O$14)))</f>
        <v>0.96505044385936301</v>
      </c>
    </row>
    <row r="66" spans="2:15" x14ac:dyDescent="0.25">
      <c r="B66" s="5" t="s">
        <v>175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183</v>
      </c>
      <c r="C67" s="90">
        <f t="shared" si="30"/>
        <v>1</v>
      </c>
      <c r="D67" s="90">
        <f t="shared" si="30"/>
        <v>1</v>
      </c>
      <c r="E67" s="90">
        <f>IF(ISBLANK('Dist. de l''état nutritionnel'!E$14),0.92,(0.92*'Dist. de l''état nutritionnel'!E$14/(1-0.92*'Dist. de l''état nutritionnel'!E$14))
/ ('Dist. de l''état nutritionnel'!E$14/(1-'Dist. de l''état nutritionnel'!E$14)))</f>
        <v>0.359631613381305</v>
      </c>
      <c r="F67" s="90">
        <f>IF(ISBLANK('Dist. de l''état nutritionnel'!F$14),0.92,(0.92*'Dist. de l''état nutritionnel'!F$14/(1-0.92*'Dist. de l''état nutritionnel'!F$14))
/ ('Dist. de l''état nutritionnel'!F$14/(1-'Dist. de l''état nutritionnel'!F$14)))</f>
        <v>0.72792750106494808</v>
      </c>
      <c r="G67" s="90">
        <f>IF(ISBLANK('Dist. de l''état nutritionnel'!G$14),0.92,(0.92*'Dist. de l''état nutritionnel'!G$14/(1-0.92*'Dist. de l''état nutritionnel'!G$14))
/ ('Dist. de l''état nutritionnel'!G$14/(1-'Dist. de l''état nutritionnel'!G$14)))</f>
        <v>0.72792750106494808</v>
      </c>
      <c r="H67" s="90">
        <f>IF(ISBLANK('Dist. de l''état nutritionnel'!H$14),0.92,(0.92*'Dist. de l''état nutritionnel'!H$14/(1-0.92*'Dist. de l''état nutritionnel'!H$14))
/ ('Dist. de l''état nutritionnel'!H$14/(1-'Dist. de l''état nutritionnel'!H$14)))</f>
        <v>0.89647497282468047</v>
      </c>
      <c r="I67" s="90">
        <f>IF(ISBLANK('Dist. de l''état nutritionnel'!I$14),0.92,(0.92*'Dist. de l''état nutritionnel'!I$14/(1-0.92*'Dist. de l''état nutritionnel'!I$14))
/ ('Dist. de l''état nutritionnel'!I$14/(1-'Dist. de l''état nutritionnel'!I$14)))</f>
        <v>0.89647497282468047</v>
      </c>
      <c r="J67" s="90">
        <f>IF(ISBLANK('Dist. de l''état nutritionnel'!J$14),0.92,(0.92*'Dist. de l''état nutritionnel'!J$14/(1-0.92*'Dist. de l''état nutritionnel'!J$14))
/ ('Dist. de l''état nutritionnel'!J$14/(1-'Dist. de l''état nutritionnel'!J$14)))</f>
        <v>0.89647497282468047</v>
      </c>
      <c r="K67" s="90">
        <f>IF(ISBLANK('Dist. de l''état nutritionnel'!K$14),0.92,(0.92*'Dist. de l''état nutritionnel'!K$14/(1-0.92*'Dist. de l''état nutritionnel'!K$14))
/ ('Dist. de l''état nutritionnel'!K$14/(1-'Dist. de l''état nutritionnel'!K$14)))</f>
        <v>0.89647497282468047</v>
      </c>
      <c r="L67" s="90">
        <f>IF(ISBLANK('Dist. de l''état nutritionnel'!L$14),0.92,(0.92*'Dist. de l''état nutritionnel'!L$14/(1-0.92*'Dist. de l''état nutritionnel'!L$14))
/ ('Dist. de l''état nutritionnel'!L$14/(1-'Dist. de l''état nutritionnel'!L$14)))</f>
        <v>0.90758709915904257</v>
      </c>
      <c r="M67" s="90">
        <f>IF(ISBLANK('Dist. de l''état nutritionnel'!M$14),0.92,(0.92*'Dist. de l''état nutritionnel'!M$14/(1-0.92*'Dist. de l''état nutritionnel'!M$14))
/ ('Dist. de l''état nutritionnel'!M$14/(1-'Dist. de l''état nutritionnel'!M$14)))</f>
        <v>0.90758709915904257</v>
      </c>
      <c r="N67" s="90">
        <f>IF(ISBLANK('Dist. de l''état nutritionnel'!N$14),0.92,(0.92*'Dist. de l''état nutritionnel'!N$14/(1-0.92*'Dist. de l''état nutritionnel'!N$14))
/ ('Dist. de l''état nutritionnel'!N$14/(1-'Dist. de l''état nutritionnel'!N$14)))</f>
        <v>0.90758709915904257</v>
      </c>
      <c r="O67" s="90">
        <f>IF(ISBLANK('Dist. de l''état nutritionnel'!O$14),0.92,(0.92*'Dist. de l''état nutritionnel'!O$14/(1-0.92*'Dist. de l''état nutritionnel'!O$14))
/ ('Dist. de l''état nutritionnel'!O$14/(1-'Dist. de l''état nutritionnel'!O$14)))</f>
        <v>0.90758709915904257</v>
      </c>
    </row>
  </sheetData>
  <sheetProtection algorithmName="SHA-512" hashValue="7kGs6uYIz5U/l+6Y/L1vKiCMqaoV/J38o+/hDnFFkWv/cR47GPLH4qvqxMzYKMYPU4QWAaMeQtVJz8YPMm3Iow==" saltValue="4xgHIDw8CYc0R9P/rgoZN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ht="13" customHeight="1" x14ac:dyDescent="0.3">
      <c r="A2" s="4" t="s">
        <v>325</v>
      </c>
    </row>
    <row r="3" spans="1:7" x14ac:dyDescent="0.25">
      <c r="B3" s="11" t="s">
        <v>161</v>
      </c>
      <c r="C3" s="90">
        <v>1</v>
      </c>
      <c r="D3" s="90">
        <f>IF(ISBLANK('Dist. de l''état nutritionnel'!D$11),0.86,(0.86*'Dist. de l''état nutritionnel'!D$11/(1-0.86*'Dist. de l''état nutritionnel'!D$11))
/ ('Dist. de l''état nutritionnel'!D$11/(1-'Dist. de l''état nutritionnel'!D$11)))</f>
        <v>0.85978111449455474</v>
      </c>
      <c r="E3" s="90" t="e">
        <f>IF(ISBLANK('Dist. de l''état nutritionnel'!E$11),0.86,(0.86*'Dist. de l''état nutritionnel'!E$11/(1-0.86*'Dist. de l''état nutritionnel'!E$11))
/ ('Dist. de l''état nutritionnel'!E$11/(1-'Dist. de l''état nutritionnel'!E$11)))</f>
        <v>#DIV/0!</v>
      </c>
      <c r="F3" s="90">
        <f>IF(ISBLANK('Dist. de l''état nutritionnel'!F$11),0.86,(0.86*'Dist. de l''état nutritionnel'!F$11/(1-0.86*'Dist. de l''état nutritionnel'!F$11))
/ ('Dist. de l''état nutritionnel'!F$11/(1-'Dist. de l''état nutritionnel'!F$11)))</f>
        <v>0.85947016114226726</v>
      </c>
      <c r="G3" s="90">
        <f>IF(ISBLANK('Dist. de l''état nutritionnel'!G$11),0.86,(0.86*'Dist. de l''état nutritionnel'!G$11/(1-0.86*'Dist. de l''état nutritionnel'!G$11))
/ ('Dist. de l''état nutritionnel'!G$11/(1-'Dist. de l''état nutritionnel'!G$11)))</f>
        <v>0.859938975637772</v>
      </c>
    </row>
    <row r="4" spans="1:7" ht="13" customHeight="1" x14ac:dyDescent="0.3">
      <c r="A4" s="4" t="s">
        <v>326</v>
      </c>
      <c r="B4" s="11"/>
      <c r="C4" s="83"/>
      <c r="D4" s="83"/>
      <c r="E4" s="83"/>
      <c r="F4" s="83"/>
      <c r="G4" s="83"/>
    </row>
    <row r="5" spans="1:7" x14ac:dyDescent="0.25">
      <c r="B5" s="5" t="s">
        <v>165</v>
      </c>
      <c r="C5" s="90">
        <v>1</v>
      </c>
      <c r="D5" s="90">
        <f>IF(ISBLANK('Dist. de l''état nutritionnel'!D$10),0.86,(0.86*'Dist. de l''état nutritionnel'!D$10/(1-0.86*'Dist. de l''état nutritionnel'!D$10))
/ ('Dist. de l''état nutritionnel'!D$10/(1-'Dist. de l''état nutritionnel'!D$10)))</f>
        <v>0.85814236316658499</v>
      </c>
      <c r="E5" s="90">
        <f>IF(ISBLANK('Dist. de l''état nutritionnel'!E$10),0.86,(0.86*'Dist. de l''état nutritionnel'!E$10/(1-0.86*'Dist. de l''état nutritionnel'!E$10))
/ ('Dist. de l''état nutritionnel'!E$10/(1-'Dist. de l''état nutritionnel'!E$10)))</f>
        <v>0.85948545989058289</v>
      </c>
      <c r="F5" s="90">
        <f>IF(ISBLANK('Dist. de l''état nutritionnel'!F$10),0.86,(0.86*'Dist. de l''état nutritionnel'!F$10/(1-0.86*'Dist. de l''état nutritionnel'!F$10))
/ ('Dist. de l''état nutritionnel'!F$10/(1-'Dist. de l''état nutritionnel'!F$10)))</f>
        <v>0.85767049872590084</v>
      </c>
      <c r="G5" s="90">
        <f>IF(ISBLANK('Dist. de l''état nutritionnel'!G$10),0.86,(0.86*'Dist. de l''état nutritionnel'!G$10/(1-0.86*'Dist. de l''état nutritionnel'!G$10))
/ ('Dist. de l''état nutritionnel'!G$10/(1-'Dist. de l''état nutritionnel'!G$10)))</f>
        <v>0.8577544750714492</v>
      </c>
    </row>
    <row r="7" spans="1:7" s="92" customFormat="1" ht="13" customHeight="1" x14ac:dyDescent="0.3">
      <c r="A7" s="92" t="s">
        <v>331</v>
      </c>
    </row>
    <row r="8" spans="1:7" ht="13" customHeight="1" x14ac:dyDescent="0.3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ht="13" customHeight="1" x14ac:dyDescent="0.3">
      <c r="A9" s="4" t="s">
        <v>327</v>
      </c>
    </row>
    <row r="10" spans="1:7" x14ac:dyDescent="0.25">
      <c r="B10" s="11" t="s">
        <v>161</v>
      </c>
      <c r="C10" s="90">
        <f>C3*0.9</f>
        <v>0.9</v>
      </c>
      <c r="D10" s="90">
        <f>D3*0.9</f>
        <v>0.7738030030450993</v>
      </c>
      <c r="E10" s="90" t="e">
        <f>E3*0.9</f>
        <v>#DIV/0!</v>
      </c>
      <c r="F10" s="90">
        <f>F3*0.9</f>
        <v>0.77352314502804054</v>
      </c>
      <c r="G10" s="90">
        <f>G3*0.9</f>
        <v>0.77394507807399482</v>
      </c>
    </row>
    <row r="11" spans="1:7" ht="13" customHeight="1" x14ac:dyDescent="0.3">
      <c r="A11" s="4" t="s">
        <v>328</v>
      </c>
      <c r="B11" s="11"/>
      <c r="C11" s="83"/>
      <c r="D11" s="83"/>
      <c r="E11" s="83"/>
      <c r="F11" s="83"/>
      <c r="G11" s="83"/>
    </row>
    <row r="12" spans="1:7" x14ac:dyDescent="0.25">
      <c r="B12" s="5" t="s">
        <v>165</v>
      </c>
      <c r="C12" s="90">
        <f>C5*0.9</f>
        <v>0.9</v>
      </c>
      <c r="D12" s="90">
        <f>D5*0.9</f>
        <v>0.77232812684992647</v>
      </c>
      <c r="E12" s="90">
        <f>E5*0.9</f>
        <v>0.77353691390152457</v>
      </c>
      <c r="F12" s="90">
        <f>F5*0.9</f>
        <v>0.77190344885331075</v>
      </c>
      <c r="G12" s="90">
        <f>G5*0.9</f>
        <v>0.77197902756430425</v>
      </c>
    </row>
    <row r="14" spans="1:7" s="92" customFormat="1" ht="13" customHeight="1" x14ac:dyDescent="0.3">
      <c r="A14" s="92" t="s">
        <v>332</v>
      </c>
    </row>
    <row r="15" spans="1:7" ht="13" customHeight="1" x14ac:dyDescent="0.3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ht="13" customHeight="1" x14ac:dyDescent="0.3">
      <c r="A16" s="4" t="s">
        <v>329</v>
      </c>
    </row>
    <row r="17" spans="1:7" x14ac:dyDescent="0.25">
      <c r="B17" s="11" t="s">
        <v>161</v>
      </c>
      <c r="C17" s="90">
        <f>C3*1.05</f>
        <v>1.05</v>
      </c>
      <c r="D17" s="90">
        <f>D3*1.05</f>
        <v>0.90277017021928252</v>
      </c>
      <c r="E17" s="90" t="e">
        <f>E3*1.05</f>
        <v>#DIV/0!</v>
      </c>
      <c r="F17" s="90">
        <f>F3*1.05</f>
        <v>0.90244366919938068</v>
      </c>
      <c r="G17" s="90">
        <f>G3*1.05</f>
        <v>0.90293592441966064</v>
      </c>
    </row>
    <row r="18" spans="1:7" ht="13" customHeight="1" x14ac:dyDescent="0.3">
      <c r="A18" s="4" t="s">
        <v>330</v>
      </c>
      <c r="B18" s="11"/>
      <c r="C18" s="83"/>
      <c r="D18" s="83"/>
      <c r="E18" s="83"/>
      <c r="F18" s="83"/>
      <c r="G18" s="83"/>
    </row>
    <row r="19" spans="1:7" x14ac:dyDescent="0.25">
      <c r="B19" s="5" t="s">
        <v>165</v>
      </c>
      <c r="C19" s="90">
        <f>C5*1.05</f>
        <v>1.05</v>
      </c>
      <c r="D19" s="90">
        <f>D5*1.05</f>
        <v>0.90104948132491425</v>
      </c>
      <c r="E19" s="90">
        <f>E5*1.05</f>
        <v>0.90245973288511205</v>
      </c>
      <c r="F19" s="90">
        <f>F5*1.05</f>
        <v>0.90055402366219595</v>
      </c>
      <c r="G19" s="90">
        <f>G5*1.05</f>
        <v>0.90064219882502172</v>
      </c>
    </row>
  </sheetData>
  <sheetProtection algorithmName="SHA-512" hashValue="yN/zCMSwYAdPLN7xzRokq/nvjVl/OaiyZOxAaOFAXLig+rDXsDu9HOvcOh4bk34w/ix1VBElHEOEsslwKnEPcg==" saltValue="8MLtMy1OdllIiTBjLQ+b3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x14ac:dyDescent="0.25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335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336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336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209</v>
      </c>
      <c r="C7" s="5" t="s">
        <v>334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336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336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209</v>
      </c>
      <c r="C11" s="5" t="s">
        <v>334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336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336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209</v>
      </c>
      <c r="C15" s="5" t="s">
        <v>334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336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336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209</v>
      </c>
      <c r="C19" s="5" t="s">
        <v>334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336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175</v>
      </c>
      <c r="B21" s="5" t="s">
        <v>84</v>
      </c>
      <c r="C21" s="5" t="s">
        <v>334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335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173</v>
      </c>
      <c r="B23" s="5" t="s">
        <v>84</v>
      </c>
      <c r="C23" s="5" t="s">
        <v>334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335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174</v>
      </c>
      <c r="B25" s="5" t="s">
        <v>84</v>
      </c>
      <c r="C25" s="5" t="s">
        <v>334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335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87</v>
      </c>
      <c r="C42" s="5" t="s">
        <v>334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335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336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88</v>
      </c>
      <c r="C45" s="5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335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336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191</v>
      </c>
      <c r="B48" s="5" t="s">
        <v>87</v>
      </c>
      <c r="C48" s="5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87</v>
      </c>
      <c r="C50" s="5" t="s">
        <v>334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335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184</v>
      </c>
      <c r="B52" s="5" t="s">
        <v>82</v>
      </c>
      <c r="C52" s="5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331</v>
      </c>
      <c r="B55" s="97"/>
      <c r="C55" s="97"/>
    </row>
    <row r="56" spans="1:8" ht="13" customHeight="1" x14ac:dyDescent="0.3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x14ac:dyDescent="0.25">
      <c r="A57" s="5" t="s">
        <v>193</v>
      </c>
      <c r="B57" s="5" t="s">
        <v>87</v>
      </c>
      <c r="C57" s="5" t="s">
        <v>334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335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336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192</v>
      </c>
      <c r="B60" s="5" t="s">
        <v>208</v>
      </c>
      <c r="C60" s="5" t="s">
        <v>334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336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209</v>
      </c>
      <c r="C62" s="5" t="s">
        <v>334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336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185</v>
      </c>
      <c r="B64" s="5" t="s">
        <v>208</v>
      </c>
      <c r="C64" s="5" t="s">
        <v>334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336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209</v>
      </c>
      <c r="C66" s="5" t="s">
        <v>334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336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205</v>
      </c>
      <c r="B68" s="5" t="s">
        <v>208</v>
      </c>
      <c r="C68" s="5" t="s">
        <v>334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336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209</v>
      </c>
      <c r="C70" s="5" t="s">
        <v>334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336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170</v>
      </c>
      <c r="B72" s="5" t="s">
        <v>208</v>
      </c>
      <c r="C72" s="5" t="s">
        <v>334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336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209</v>
      </c>
      <c r="C74" s="5" t="s">
        <v>334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336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175</v>
      </c>
      <c r="B76" s="5" t="s">
        <v>84</v>
      </c>
      <c r="C76" s="5" t="s">
        <v>334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335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173</v>
      </c>
      <c r="B78" s="5" t="s">
        <v>84</v>
      </c>
      <c r="C78" s="5" t="s">
        <v>334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335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174</v>
      </c>
      <c r="B80" s="5" t="s">
        <v>84</v>
      </c>
      <c r="C80" s="5" t="s">
        <v>334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335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87</v>
      </c>
      <c r="C82" s="5" t="s">
        <v>334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335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336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87</v>
      </c>
      <c r="C85" s="5" t="s">
        <v>334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335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336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196</v>
      </c>
      <c r="B88" s="5" t="s">
        <v>87</v>
      </c>
      <c r="C88" s="5" t="s">
        <v>334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335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336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195</v>
      </c>
      <c r="B91" s="5" t="s">
        <v>87</v>
      </c>
      <c r="C91" s="5" t="s">
        <v>334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335</v>
      </c>
      <c r="D92" s="90">
        <f t="shared" si="4"/>
        <v>0</v>
      </c>
      <c r="E92" s="90">
        <f t="shared" si="4"/>
        <v>0</v>
      </c>
      <c r="F92" s="90">
        <f t="shared" ref="F92:G108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336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194</v>
      </c>
      <c r="B94" s="5" t="s">
        <v>87</v>
      </c>
      <c r="C94" s="5" t="s">
        <v>334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335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336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200</v>
      </c>
      <c r="B97" s="5" t="s">
        <v>87</v>
      </c>
      <c r="C97" s="5" t="s">
        <v>334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335</v>
      </c>
      <c r="D98" s="90">
        <f t="shared" ref="D98:E108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336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88</v>
      </c>
      <c r="C100" s="5" t="s">
        <v>334</v>
      </c>
      <c r="D100" s="90">
        <f t="shared" si="6"/>
        <v>0.27</v>
      </c>
      <c r="E100" s="90">
        <f t="shared" si="6"/>
        <v>0.27</v>
      </c>
      <c r="F100" s="90">
        <f t="shared" si="5"/>
        <v>0.27</v>
      </c>
      <c r="G100" s="90">
        <f t="shared" si="5"/>
        <v>0.27</v>
      </c>
      <c r="H100" s="90">
        <f t="shared" si="2"/>
        <v>0.27</v>
      </c>
    </row>
    <row r="101" spans="1:8" x14ac:dyDescent="0.25">
      <c r="C101" s="5" t="s">
        <v>335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336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191</v>
      </c>
      <c r="B103" s="5" t="s">
        <v>87</v>
      </c>
      <c r="C103" s="5" t="s">
        <v>334</v>
      </c>
      <c r="D103" s="90">
        <f t="shared" si="6"/>
        <v>0.79200000000000004</v>
      </c>
      <c r="E103" s="90">
        <f t="shared" si="6"/>
        <v>0.79200000000000004</v>
      </c>
      <c r="F103" s="90">
        <f t="shared" si="5"/>
        <v>0.79200000000000004</v>
      </c>
      <c r="G103" s="90">
        <f t="shared" si="5"/>
        <v>0.79200000000000004</v>
      </c>
      <c r="H103" s="90">
        <f t="shared" si="2"/>
        <v>0.79200000000000004</v>
      </c>
    </row>
    <row r="104" spans="1:8" x14ac:dyDescent="0.25">
      <c r="C104" s="5" t="s">
        <v>335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199</v>
      </c>
      <c r="B105" s="5" t="s">
        <v>87</v>
      </c>
      <c r="C105" s="5" t="s">
        <v>334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335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184</v>
      </c>
      <c r="B107" s="5" t="s">
        <v>82</v>
      </c>
      <c r="C107" s="5" t="s">
        <v>334</v>
      </c>
      <c r="D107" s="90">
        <f t="shared" si="6"/>
        <v>0.52200000000000002</v>
      </c>
      <c r="E107" s="90">
        <f t="shared" si="6"/>
        <v>0.52200000000000002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335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332</v>
      </c>
      <c r="B110" s="97"/>
      <c r="C110" s="97"/>
    </row>
    <row r="111" spans="1:8" ht="13" customHeight="1" x14ac:dyDescent="0.3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5">
      <c r="A112" s="5" t="s">
        <v>193</v>
      </c>
      <c r="B112" s="5" t="s">
        <v>87</v>
      </c>
      <c r="C112" s="5" t="s">
        <v>334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335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336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192</v>
      </c>
      <c r="B115" s="5" t="s">
        <v>208</v>
      </c>
      <c r="C115" s="5" t="s">
        <v>334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336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209</v>
      </c>
      <c r="C117" s="5" t="s">
        <v>334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336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185</v>
      </c>
      <c r="B119" s="5" t="s">
        <v>208</v>
      </c>
      <c r="C119" s="5" t="s">
        <v>334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336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209</v>
      </c>
      <c r="C121" s="5" t="s">
        <v>334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336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205</v>
      </c>
      <c r="B123" s="5" t="s">
        <v>208</v>
      </c>
      <c r="C123" s="5" t="s">
        <v>334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336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209</v>
      </c>
      <c r="C125" s="5" t="s">
        <v>334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336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170</v>
      </c>
      <c r="B127" s="5" t="s">
        <v>208</v>
      </c>
      <c r="C127" s="5" t="s">
        <v>334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336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209</v>
      </c>
      <c r="C129" s="5" t="s">
        <v>334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336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175</v>
      </c>
      <c r="B131" s="5" t="s">
        <v>84</v>
      </c>
      <c r="C131" s="5" t="s">
        <v>334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335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173</v>
      </c>
      <c r="B133" s="5" t="s">
        <v>84</v>
      </c>
      <c r="C133" s="5" t="s">
        <v>334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335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174</v>
      </c>
      <c r="B135" s="5" t="s">
        <v>84</v>
      </c>
      <c r="C135" s="5" t="s">
        <v>334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335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197</v>
      </c>
      <c r="B137" s="5" t="s">
        <v>87</v>
      </c>
      <c r="C137" s="5" t="s">
        <v>334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335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336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198</v>
      </c>
      <c r="B140" s="5" t="s">
        <v>87</v>
      </c>
      <c r="C140" s="5" t="s">
        <v>334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335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336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87</v>
      </c>
      <c r="C143" s="5" t="s">
        <v>334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335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336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87</v>
      </c>
      <c r="C146" s="5" t="s">
        <v>334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335</v>
      </c>
      <c r="D147" s="90">
        <f t="shared" si="11"/>
        <v>0</v>
      </c>
      <c r="E147" s="90">
        <f t="shared" si="11"/>
        <v>0</v>
      </c>
      <c r="F147" s="90">
        <f t="shared" ref="F147:G163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336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87</v>
      </c>
      <c r="C149" s="5" t="s">
        <v>334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335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336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87</v>
      </c>
      <c r="C152" s="5" t="s">
        <v>334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335</v>
      </c>
      <c r="D153" s="90">
        <f t="shared" ref="D153:E163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336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88</v>
      </c>
      <c r="C155" s="5" t="s">
        <v>334</v>
      </c>
      <c r="D155" s="90">
        <f t="shared" si="13"/>
        <v>0.315</v>
      </c>
      <c r="E155" s="90">
        <f t="shared" si="13"/>
        <v>0.315</v>
      </c>
      <c r="F155" s="90">
        <f t="shared" si="12"/>
        <v>0.315</v>
      </c>
      <c r="G155" s="90">
        <f t="shared" si="12"/>
        <v>0.315</v>
      </c>
      <c r="H155" s="90">
        <f t="shared" si="9"/>
        <v>0.315</v>
      </c>
    </row>
    <row r="156" spans="1:8" x14ac:dyDescent="0.25">
      <c r="C156" s="5" t="s">
        <v>335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336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191</v>
      </c>
      <c r="B158" s="5" t="s">
        <v>87</v>
      </c>
      <c r="C158" s="5" t="s">
        <v>334</v>
      </c>
      <c r="D158" s="90">
        <f t="shared" si="13"/>
        <v>0.92400000000000004</v>
      </c>
      <c r="E158" s="90">
        <f t="shared" si="13"/>
        <v>0.92400000000000004</v>
      </c>
      <c r="F158" s="90">
        <f t="shared" si="12"/>
        <v>0.92400000000000004</v>
      </c>
      <c r="G158" s="90">
        <f t="shared" si="12"/>
        <v>0.92400000000000004</v>
      </c>
      <c r="H158" s="90">
        <f t="shared" si="9"/>
        <v>0.92400000000000004</v>
      </c>
    </row>
    <row r="159" spans="1:8" x14ac:dyDescent="0.25">
      <c r="C159" s="5" t="s">
        <v>335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199</v>
      </c>
      <c r="B160" s="5" t="s">
        <v>87</v>
      </c>
      <c r="C160" s="5" t="s">
        <v>334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335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184</v>
      </c>
      <c r="B162" s="5" t="s">
        <v>82</v>
      </c>
      <c r="C162" s="5" t="s">
        <v>334</v>
      </c>
      <c r="D162" s="90">
        <f t="shared" si="13"/>
        <v>0.60899999999999999</v>
      </c>
      <c r="E162" s="90">
        <f t="shared" si="13"/>
        <v>0.60899999999999999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335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7W7zRI2WmjGYWQ8zb4yAlucMBS1hshm/djuKMZdNQnduCWFLaoKL9iZaiAl8vQAv4kqWWQOEgSkGND0AmyW24g==" saltValue="WUjNMAAT5bbA0cnmMSD45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x14ac:dyDescent="0.25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335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331</v>
      </c>
    </row>
    <row r="10" spans="1:8" ht="13" customHeight="1" x14ac:dyDescent="0.3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x14ac:dyDescent="0.25">
      <c r="A11" s="3" t="s">
        <v>169</v>
      </c>
      <c r="B11" s="8" t="s">
        <v>104</v>
      </c>
      <c r="C11" s="3" t="s">
        <v>334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335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188</v>
      </c>
      <c r="B13" s="8" t="s">
        <v>104</v>
      </c>
      <c r="C13" s="3" t="s">
        <v>334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187</v>
      </c>
      <c r="B15" s="8" t="s">
        <v>104</v>
      </c>
      <c r="C15" s="3" t="s">
        <v>334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332</v>
      </c>
    </row>
    <row r="19" spans="1:7" ht="13" customHeight="1" x14ac:dyDescent="0.3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x14ac:dyDescent="0.25">
      <c r="A20" s="3" t="s">
        <v>169</v>
      </c>
      <c r="B20" s="8" t="s">
        <v>104</v>
      </c>
      <c r="C20" s="3" t="s">
        <v>334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335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188</v>
      </c>
      <c r="B22" s="8" t="s">
        <v>104</v>
      </c>
      <c r="C22" s="3" t="s">
        <v>334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187</v>
      </c>
      <c r="B24" s="8" t="s">
        <v>104</v>
      </c>
      <c r="C24" s="3" t="s">
        <v>334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s8B4/in75RMESsmVJlzphHM7vVtNwcJnCqMn9tvlzO1yWpleOoPDmtfF/IozQ/QGCGIX/PT8GH+BQCNkD4BnAw==" saltValue="a8k1iPDDkEdBuR+uvpBzow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2024-03-15T02:50:13Z</dcterms:modified>
</cp:coreProperties>
</file>