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E4FB2FC5-BC56-4BF4-8C16-83BE110E43B3}" xr6:coauthVersionLast="47" xr6:coauthVersionMax="47" xr10:uidLastSave="{00000000-0000-0000-0000-000000000000}"/>
  <bookViews>
    <workbookView xWindow="0" yWindow="76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C17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23" i="2" l="1"/>
  <c r="A29" i="2"/>
  <c r="E10" i="26"/>
  <c r="A21" i="2"/>
  <c r="A18" i="2"/>
  <c r="A39" i="2"/>
  <c r="A3" i="2"/>
  <c r="A26" i="2"/>
  <c r="A31" i="2"/>
  <c r="A13" i="2"/>
  <c r="A34" i="2"/>
  <c r="A15" i="2"/>
  <c r="A37" i="2"/>
  <c r="F12" i="26"/>
  <c r="A14" i="2"/>
  <c r="A22" i="2"/>
  <c r="A30" i="2"/>
  <c r="A38" i="2"/>
  <c r="A40" i="2"/>
  <c r="D10" i="26"/>
  <c r="G12" i="26"/>
  <c r="E19" i="26"/>
  <c r="F10" i="26"/>
  <c r="A16" i="2"/>
  <c r="A24" i="2"/>
  <c r="A32" i="2"/>
  <c r="A17" i="2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<sst xmlns="http://schemas.openxmlformats.org/spreadsheetml/2006/main" count="2092" uniqueCount="337">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</sst>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4392126.8125</v>
      </c>
    </row>
    <row r="8" spans="1:3" ht="15" customHeight="1" x14ac:dyDescent="0.25">
      <c r="B8" s="5" t="s">
        <v>19</v>
      </c>
      <c r="C8" s="44">
        <v>0.23799999999999999</v>
      </c>
    </row>
    <row r="9" spans="1:3" ht="15" customHeight="1" x14ac:dyDescent="0.25">
      <c r="B9" s="5" t="s">
        <v>20</v>
      </c>
      <c r="C9" s="45">
        <v>0.74</v>
      </c>
    </row>
    <row r="10" spans="1:3" ht="15" customHeight="1" x14ac:dyDescent="0.25">
      <c r="B10" s="5" t="s">
        <v>21</v>
      </c>
      <c r="C10" s="45">
        <v>0.44305671691894499</v>
      </c>
    </row>
    <row r="11" spans="1:3" ht="15" customHeight="1" x14ac:dyDescent="0.25">
      <c r="B11" s="5" t="s">
        <v>22</v>
      </c>
      <c r="C11" s="45">
        <v>0.58799999999999997</v>
      </c>
    </row>
    <row r="12" spans="1:3" ht="15" customHeight="1" x14ac:dyDescent="0.25">
      <c r="B12" s="5" t="s">
        <v>23</v>
      </c>
      <c r="C12" s="45">
        <v>0.28100000000000003</v>
      </c>
    </row>
    <row r="13" spans="1:3" ht="15" customHeight="1" x14ac:dyDescent="0.25">
      <c r="B13" s="5" t="s">
        <v>24</v>
      </c>
      <c r="C13" s="45">
        <v>0.59899999999999998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0.11650000000000001</v>
      </c>
    </row>
    <row r="24" spans="1:3" ht="15" customHeight="1" x14ac:dyDescent="0.25">
      <c r="B24" s="15" t="s">
        <v>33</v>
      </c>
      <c r="C24" s="45">
        <v>0.45839999999999997</v>
      </c>
    </row>
    <row r="25" spans="1:3" ht="15" customHeight="1" x14ac:dyDescent="0.25">
      <c r="B25" s="15" t="s">
        <v>34</v>
      </c>
      <c r="C25" s="45">
        <v>0.35239999999999999</v>
      </c>
    </row>
    <row r="26" spans="1:3" ht="15" customHeight="1" x14ac:dyDescent="0.25">
      <c r="B26" s="15" t="s">
        <v>35</v>
      </c>
      <c r="C26" s="45">
        <v>7.2700000000000001E-2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0.22889117379313301</v>
      </c>
    </row>
    <row r="30" spans="1:3" ht="14.25" customHeight="1" x14ac:dyDescent="0.25">
      <c r="B30" s="25" t="s">
        <v>38</v>
      </c>
      <c r="C30" s="99">
        <v>6.3717965928088496E-2</v>
      </c>
    </row>
    <row r="31" spans="1:3" ht="14.25" customHeight="1" x14ac:dyDescent="0.25">
      <c r="B31" s="25" t="s">
        <v>39</v>
      </c>
      <c r="C31" s="99">
        <v>0.10059118879698201</v>
      </c>
    </row>
    <row r="32" spans="1:3" ht="14.25" customHeight="1" x14ac:dyDescent="0.25">
      <c r="B32" s="25" t="s">
        <v>40</v>
      </c>
      <c r="C32" s="99">
        <v>0.60679967148179603</v>
      </c>
    </row>
    <row r="33" spans="1:5" ht="13" customHeight="1" x14ac:dyDescent="0.25">
      <c r="B33" s="27" t="s">
        <v>41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26.0777570585307</v>
      </c>
    </row>
    <row r="38" spans="1:5" ht="15" customHeight="1" x14ac:dyDescent="0.25">
      <c r="B38" s="11" t="s">
        <v>45</v>
      </c>
      <c r="C38" s="43">
        <v>50.1732769530837</v>
      </c>
      <c r="D38" s="12"/>
      <c r="E38" s="13"/>
    </row>
    <row r="39" spans="1:5" ht="15" customHeight="1" x14ac:dyDescent="0.25">
      <c r="B39" s="11" t="s">
        <v>46</v>
      </c>
      <c r="C39" s="43">
        <v>74.800281353572601</v>
      </c>
      <c r="D39" s="12"/>
      <c r="E39" s="12"/>
    </row>
    <row r="40" spans="1:5" ht="15" customHeight="1" x14ac:dyDescent="0.25">
      <c r="B40" s="11" t="s">
        <v>47</v>
      </c>
      <c r="C40" s="100">
        <v>5.29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19.388346810000002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2.8625E-3</v>
      </c>
      <c r="D45" s="12"/>
    </row>
    <row r="46" spans="1:5" ht="15.75" customHeight="1" x14ac:dyDescent="0.25">
      <c r="B46" s="11" t="s">
        <v>52</v>
      </c>
      <c r="C46" s="45">
        <v>8.5599700000000001E-2</v>
      </c>
      <c r="D46" s="12"/>
    </row>
    <row r="47" spans="1:5" ht="15.75" customHeight="1" x14ac:dyDescent="0.25">
      <c r="B47" s="11" t="s">
        <v>53</v>
      </c>
      <c r="C47" s="45">
        <v>0.1424473</v>
      </c>
      <c r="D47" s="12"/>
      <c r="E47" s="13"/>
    </row>
    <row r="48" spans="1:5" ht="15" customHeight="1" x14ac:dyDescent="0.25">
      <c r="B48" s="11" t="s">
        <v>54</v>
      </c>
      <c r="C48" s="46">
        <v>0.7690904999999999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0.45496999999999999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0.11961432</v>
      </c>
    </row>
    <row r="63" spans="1:4" ht="15.75" customHeight="1" x14ac:dyDescent="0.3">
      <c r="A63" s="4"/>
    </row>
  </sheetData>
  <sheetProtection algorithmName="SHA-512" hashValue="LpNheLbkBVqS/Gj//uDMT6CSh0sDCxuq9/so7q6QhOjD3u6d2pvo1NuRaSo2/ZG5hwxkQh0MgdrGIHg31RhQMw==" saltValue="/kV/3AK0iVZNSAY4klj8l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0.40057632457080111</v>
      </c>
      <c r="C2" s="98">
        <v>0.95</v>
      </c>
      <c r="D2" s="56">
        <v>40.364147140219387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39.484184482679296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137.4514172418211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0.29705202383888901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12.61648392647521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12.61648392647521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12.61648392647521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12.61648392647521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12.61648392647521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12.61648392647521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0.57214308826811999</v>
      </c>
      <c r="C16" s="98">
        <v>0.95</v>
      </c>
      <c r="D16" s="56">
        <v>0.3232422749080891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0.83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3.252104381193762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3.252104381193762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0.65054450000000008</v>
      </c>
      <c r="C21" s="98">
        <v>0.95</v>
      </c>
      <c r="D21" s="56">
        <v>2.861030426392877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21.56455166502997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3.4732148650000003E-2</v>
      </c>
      <c r="C23" s="98">
        <v>0.95</v>
      </c>
      <c r="D23" s="56">
        <v>4.0320279639007426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0.52870136371005794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0.415598972633068</v>
      </c>
      <c r="C27" s="98">
        <v>0.95</v>
      </c>
      <c r="D27" s="56">
        <v>18.17825495848718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0.17947630000000001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73.329717310870137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0.1133</v>
      </c>
      <c r="C31" s="98">
        <v>0.95</v>
      </c>
      <c r="D31" s="56">
        <v>0.86324334465165042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0.36904480000000001</v>
      </c>
      <c r="C32" s="98">
        <v>0.95</v>
      </c>
      <c r="D32" s="56">
        <v>0.65336917399036021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0.39075550156474997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0.47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0.2055437</v>
      </c>
      <c r="C38" s="98">
        <v>0.95</v>
      </c>
      <c r="D38" s="56">
        <v>5.3958083837356767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0.19769629999999999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+qebUNzl02LzTn2LZGvulqLXIxDG0ETHJwYT4YjF/Q9agUR8YPtnypHcbzT76DXuQ+rwA7bCzRNhNWQ86wkcXA==" saltValue="66Qr+Kpz3bwTDemxp+VqZ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h5eXeBxwxoTu7tZgDgqzejPu2p+DScyIDOheVSUzjLcLkQS+WmcorftdUseqPC4sOrpGwSBzwQYl0AYzRdZhMw==" saltValue="go4CycREoF6puBl3iZikQ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LRSeL/6kZEKAoS8PZLisZ8r/bC1UQoXToo3NFTWosh2V3jQXKLv2bf6AqwbFq2jWbegjRxTk4j2AmU1Kr42Qjw==" saltValue="3KQGAM1xIPsGJcBpRUBi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9.1795527200000004E-2</v>
      </c>
      <c r="C3" s="21">
        <f>frac_mam_1_5months * 2.6</f>
        <v>9.1795527200000004E-2</v>
      </c>
      <c r="D3" s="21">
        <f>frac_mam_6_11months * 2.6</f>
        <v>0.11720249320000001</v>
      </c>
      <c r="E3" s="21">
        <f>frac_mam_12_23months * 2.6</f>
        <v>9.2268553000000003E-2</v>
      </c>
      <c r="F3" s="21">
        <f>frac_mam_24_59months * 2.6</f>
        <v>5.8428825000000004E-2</v>
      </c>
    </row>
    <row r="4" spans="1:6" ht="15.75" customHeight="1" x14ac:dyDescent="0.25">
      <c r="A4" s="3" t="s">
        <v>208</v>
      </c>
      <c r="B4" s="21">
        <f>frac_sam_1month * 2.6</f>
        <v>7.2465289000000002E-2</v>
      </c>
      <c r="C4" s="21">
        <f>frac_sam_1_5months * 2.6</f>
        <v>7.2465289000000002E-2</v>
      </c>
      <c r="D4" s="21">
        <f>frac_sam_6_11months * 2.6</f>
        <v>6.4119598400000005E-2</v>
      </c>
      <c r="E4" s="21">
        <f>frac_sam_12_23months * 2.6</f>
        <v>4.2621805200000001E-2</v>
      </c>
      <c r="F4" s="21">
        <f>frac_sam_24_59months * 2.6</f>
        <v>2.9411644599999998E-2</v>
      </c>
    </row>
  </sheetData>
  <sheetProtection algorithmName="SHA-512" hashValue="/82FwAyJha6I+yOporjnJnMM+QedYxPCVcJhzEu5AXMjsH+BmB61+QTKSKXtRp1FtyoTI0+WfK1zEGRaAvzkLw==" saltValue="44rJSuy+l/Hwc3wcAzYe2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0.23799999999999999</v>
      </c>
      <c r="E2" s="60">
        <f>food_insecure</f>
        <v>0.23799999999999999</v>
      </c>
      <c r="F2" s="60">
        <f>food_insecure</f>
        <v>0.23799999999999999</v>
      </c>
      <c r="G2" s="60">
        <f>food_insecure</f>
        <v>0.23799999999999999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0.23799999999999999</v>
      </c>
      <c r="F5" s="60">
        <f>food_insecure</f>
        <v>0.23799999999999999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0.23799999999999999</v>
      </c>
      <c r="F8" s="60">
        <f>food_insecure</f>
        <v>0.23799999999999999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0.23799999999999999</v>
      </c>
      <c r="F9" s="60">
        <f>food_insecure</f>
        <v>0.23799999999999999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0.28100000000000003</v>
      </c>
      <c r="E10" s="60">
        <f>IF(ISBLANK(comm_deliv), frac_children_health_facility,1)</f>
        <v>0.28100000000000003</v>
      </c>
      <c r="F10" s="60">
        <f>IF(ISBLANK(comm_deliv), frac_children_health_facility,1)</f>
        <v>0.28100000000000003</v>
      </c>
      <c r="G10" s="60">
        <f>IF(ISBLANK(comm_deliv), frac_children_health_facility,1)</f>
        <v>0.28100000000000003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0.23799999999999999</v>
      </c>
      <c r="I15" s="60">
        <f>food_insecure</f>
        <v>0.23799999999999999</v>
      </c>
      <c r="J15" s="60">
        <f>food_insecure</f>
        <v>0.23799999999999999</v>
      </c>
      <c r="K15" s="60">
        <f>food_insecure</f>
        <v>0.23799999999999999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0.58799999999999997</v>
      </c>
      <c r="I18" s="60">
        <f>frac_PW_health_facility</f>
        <v>0.58799999999999997</v>
      </c>
      <c r="J18" s="60">
        <f>frac_PW_health_facility</f>
        <v>0.58799999999999997</v>
      </c>
      <c r="K18" s="60">
        <f>frac_PW_health_facility</f>
        <v>0.58799999999999997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0.74</v>
      </c>
      <c r="I19" s="60">
        <f>frac_malaria_risk</f>
        <v>0.74</v>
      </c>
      <c r="J19" s="60">
        <f>frac_malaria_risk</f>
        <v>0.74</v>
      </c>
      <c r="K19" s="60">
        <f>frac_malaria_risk</f>
        <v>0.74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0.59899999999999998</v>
      </c>
      <c r="M24" s="60">
        <f>famplan_unmet_need</f>
        <v>0.59899999999999998</v>
      </c>
      <c r="N24" s="60">
        <f>famplan_unmet_need</f>
        <v>0.59899999999999998</v>
      </c>
      <c r="O24" s="60">
        <f>famplan_unmet_need</f>
        <v>0.59899999999999998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0.30073823399810806</v>
      </c>
      <c r="M25" s="60">
        <f>(1-food_insecure)*(0.49)+food_insecure*(0.7)</f>
        <v>0.5399799999999999</v>
      </c>
      <c r="N25" s="60">
        <f>(1-food_insecure)*(0.49)+food_insecure*(0.7)</f>
        <v>0.5399799999999999</v>
      </c>
      <c r="O25" s="60">
        <f>(1-food_insecure)*(0.49)+food_insecure*(0.7)</f>
        <v>0.5399799999999999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0.12888781457061774</v>
      </c>
      <c r="M26" s="60">
        <f>(1-food_insecure)*(0.21)+food_insecure*(0.3)</f>
        <v>0.23141999999999999</v>
      </c>
      <c r="N26" s="60">
        <f>(1-food_insecure)*(0.21)+food_insecure*(0.3)</f>
        <v>0.23141999999999999</v>
      </c>
      <c r="O26" s="60">
        <f>(1-food_insecure)*(0.21)+food_insecure*(0.3)</f>
        <v>0.23141999999999999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0.12731723451232918</v>
      </c>
      <c r="M27" s="60">
        <f>(1-food_insecure)*(0.3)</f>
        <v>0.2286</v>
      </c>
      <c r="N27" s="60">
        <f>(1-food_insecure)*(0.3)</f>
        <v>0.2286</v>
      </c>
      <c r="O27" s="60">
        <f>(1-food_insecure)*(0.3)</f>
        <v>0.2286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0.44305671691894499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0.74</v>
      </c>
      <c r="D34" s="60">
        <f t="shared" si="3"/>
        <v>0.74</v>
      </c>
      <c r="E34" s="60">
        <f t="shared" si="3"/>
        <v>0.74</v>
      </c>
      <c r="F34" s="60">
        <f t="shared" si="3"/>
        <v>0.74</v>
      </c>
      <c r="G34" s="60">
        <f t="shared" si="3"/>
        <v>0.74</v>
      </c>
      <c r="H34" s="60">
        <f t="shared" si="3"/>
        <v>0.74</v>
      </c>
      <c r="I34" s="60">
        <f t="shared" si="3"/>
        <v>0.74</v>
      </c>
      <c r="J34" s="60">
        <f t="shared" si="3"/>
        <v>0.74</v>
      </c>
      <c r="K34" s="60">
        <f t="shared" si="3"/>
        <v>0.74</v>
      </c>
      <c r="L34" s="60">
        <f t="shared" si="3"/>
        <v>0.74</v>
      </c>
      <c r="M34" s="60">
        <f t="shared" si="3"/>
        <v>0.74</v>
      </c>
      <c r="N34" s="60">
        <f t="shared" si="3"/>
        <v>0.74</v>
      </c>
      <c r="O34" s="60">
        <f t="shared" si="3"/>
        <v>0.74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J6fpaL83J/0hj0Rs2NJQJZpAMw3W+SMXkcmnq6+BXOTbxcoEMtTI2OQw/pJf7oK0buiJ3oor2TvwC6p715HMOw==" saltValue="LSY0Ar4YHV8mU9+P4zgoP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AajbljskVaZ2GoNKwH3LPLA9hZrAj+ZIpYdsuNfQ9NpCQnxZycqnaXK4y9ybn8ZGo5DpdVHAP3SJmRLSaLuuJQ==" saltValue="MHYBDRomSZE58bz7JAwsJ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rcutbhYLPkUx6QeIb5qxTegn6DQ2lDz9BqBcjrf9HS58QxfqpzZh+j4lQ+un1I3aOmc0QRxmQHfBr5kFAEcDaw==" saltValue="BsYRirRvxzJNHZEfSvPAY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7Xce7O1TiiBnYy4FGgr5UPOKhhniPLfMQbNc/1hMaKHr5S4yYbu+lXBz1yrkwTJxqKN20/tq2us3O+7grGf0+A==" saltValue="QovADH4jAVnuBB0orD1Uk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8ME5+bVF7272pRUXr8UCVpcM1bpSA8YUIBSEpfAXAiUt/c9B/A9yjn38B81Ym69++qmPWS/Qe9S8d5Fj31VLeQ==" saltValue="GXedTkIHDNlcweAgMvb9F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Dd+xwAe7jALMRFAQ9hsV/OTe/5JPz3EV2lffhjeBcvy3hZDxW7oFh6SEvlxT80rM012YQUw6lrF7wRAT0Bxmww==" saltValue="7pqPzCn+s2Q6Mf5r8A2HI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900559.20920000004</v>
      </c>
      <c r="C2" s="49">
        <v>1421000</v>
      </c>
      <c r="D2" s="49">
        <v>2262000</v>
      </c>
      <c r="E2" s="49">
        <v>1711000</v>
      </c>
      <c r="F2" s="49">
        <v>1073000</v>
      </c>
      <c r="G2" s="17">
        <f t="shared" ref="G2:G11" si="0">C2+D2+E2+F2</f>
        <v>6467000</v>
      </c>
      <c r="H2" s="17">
        <f t="shared" ref="H2:H11" si="1">(B2 + stillbirth*B2/(1000-stillbirth))/(1-abortion)</f>
        <v>1043596.3456055213</v>
      </c>
      <c r="I2" s="17">
        <f t="shared" ref="I2:I11" si="2">G2-H2</f>
        <v>5423403.6543944785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911441.16800000006</v>
      </c>
      <c r="C3" s="50">
        <v>1464000</v>
      </c>
      <c r="D3" s="50">
        <v>2317000</v>
      </c>
      <c r="E3" s="50">
        <v>1758000</v>
      </c>
      <c r="F3" s="50">
        <v>1120000</v>
      </c>
      <c r="G3" s="17">
        <f t="shared" si="0"/>
        <v>6659000</v>
      </c>
      <c r="H3" s="17">
        <f t="shared" si="1"/>
        <v>1056206.7018382871</v>
      </c>
      <c r="I3" s="17">
        <f t="shared" si="2"/>
        <v>5602793.2981617134</v>
      </c>
    </row>
    <row r="4" spans="1:9" ht="15.75" customHeight="1" x14ac:dyDescent="0.25">
      <c r="A4" s="5">
        <f t="shared" si="3"/>
        <v>2023</v>
      </c>
      <c r="B4" s="49">
        <v>922083.93040000007</v>
      </c>
      <c r="C4" s="50">
        <v>1507000</v>
      </c>
      <c r="D4" s="50">
        <v>2378000</v>
      </c>
      <c r="E4" s="50">
        <v>1805000</v>
      </c>
      <c r="F4" s="50">
        <v>1171000</v>
      </c>
      <c r="G4" s="17">
        <f t="shared" si="0"/>
        <v>6861000</v>
      </c>
      <c r="H4" s="17">
        <f t="shared" si="1"/>
        <v>1068539.8697569787</v>
      </c>
      <c r="I4" s="17">
        <f t="shared" si="2"/>
        <v>5792460.1302430211</v>
      </c>
    </row>
    <row r="5" spans="1:9" ht="15.75" customHeight="1" x14ac:dyDescent="0.25">
      <c r="A5" s="5">
        <f t="shared" si="3"/>
        <v>2024</v>
      </c>
      <c r="B5" s="49">
        <v>932474.68040000007</v>
      </c>
      <c r="C5" s="50">
        <v>1549000</v>
      </c>
      <c r="D5" s="50">
        <v>2445000</v>
      </c>
      <c r="E5" s="50">
        <v>1850000</v>
      </c>
      <c r="F5" s="50">
        <v>1222000</v>
      </c>
      <c r="G5" s="17">
        <f t="shared" si="0"/>
        <v>7066000</v>
      </c>
      <c r="H5" s="17">
        <f t="shared" si="1"/>
        <v>1080580.997777571</v>
      </c>
      <c r="I5" s="17">
        <f t="shared" si="2"/>
        <v>5985419.002222429</v>
      </c>
    </row>
    <row r="6" spans="1:9" ht="15.75" customHeight="1" x14ac:dyDescent="0.25">
      <c r="A6" s="5">
        <f t="shared" si="3"/>
        <v>2025</v>
      </c>
      <c r="B6" s="49">
        <v>942632.73099999991</v>
      </c>
      <c r="C6" s="50">
        <v>1590000</v>
      </c>
      <c r="D6" s="50">
        <v>2516000</v>
      </c>
      <c r="E6" s="50">
        <v>1895000</v>
      </c>
      <c r="F6" s="50">
        <v>1274000</v>
      </c>
      <c r="G6" s="17">
        <f t="shared" si="0"/>
        <v>7275000</v>
      </c>
      <c r="H6" s="17">
        <f t="shared" si="1"/>
        <v>1092352.4664121021</v>
      </c>
      <c r="I6" s="17">
        <f t="shared" si="2"/>
        <v>6182647.5335878981</v>
      </c>
    </row>
    <row r="7" spans="1:9" ht="15.75" customHeight="1" x14ac:dyDescent="0.25">
      <c r="A7" s="5">
        <f t="shared" si="3"/>
        <v>2026</v>
      </c>
      <c r="B7" s="49">
        <v>954405.18079999997</v>
      </c>
      <c r="C7" s="50">
        <v>1628000</v>
      </c>
      <c r="D7" s="50">
        <v>2588000</v>
      </c>
      <c r="E7" s="50">
        <v>1938000</v>
      </c>
      <c r="F7" s="50">
        <v>1328000</v>
      </c>
      <c r="G7" s="17">
        <f t="shared" si="0"/>
        <v>7482000</v>
      </c>
      <c r="H7" s="17">
        <f t="shared" si="1"/>
        <v>1105994.75163288</v>
      </c>
      <c r="I7" s="17">
        <f t="shared" si="2"/>
        <v>6376005.2483671196</v>
      </c>
    </row>
    <row r="8" spans="1:9" ht="15.75" customHeight="1" x14ac:dyDescent="0.25">
      <c r="A8" s="5">
        <f t="shared" si="3"/>
        <v>2027</v>
      </c>
      <c r="B8" s="49">
        <v>966008.05839999986</v>
      </c>
      <c r="C8" s="50">
        <v>1666000</v>
      </c>
      <c r="D8" s="50">
        <v>2666000</v>
      </c>
      <c r="E8" s="50">
        <v>1979000</v>
      </c>
      <c r="F8" s="50">
        <v>1383000</v>
      </c>
      <c r="G8" s="17">
        <f t="shared" si="0"/>
        <v>7694000</v>
      </c>
      <c r="H8" s="17">
        <f t="shared" si="1"/>
        <v>1119440.5312531057</v>
      </c>
      <c r="I8" s="17">
        <f t="shared" si="2"/>
        <v>6574559.468746894</v>
      </c>
    </row>
    <row r="9" spans="1:9" ht="15.75" customHeight="1" x14ac:dyDescent="0.25">
      <c r="A9" s="5">
        <f t="shared" si="3"/>
        <v>2028</v>
      </c>
      <c r="B9" s="49">
        <v>977398.3088</v>
      </c>
      <c r="C9" s="50">
        <v>1702000</v>
      </c>
      <c r="D9" s="50">
        <v>2748000</v>
      </c>
      <c r="E9" s="50">
        <v>2022000</v>
      </c>
      <c r="F9" s="50">
        <v>1439000</v>
      </c>
      <c r="G9" s="17">
        <f t="shared" si="0"/>
        <v>7911000</v>
      </c>
      <c r="H9" s="17">
        <f t="shared" si="1"/>
        <v>1132639.9117841553</v>
      </c>
      <c r="I9" s="17">
        <f t="shared" si="2"/>
        <v>6778360.0882158447</v>
      </c>
    </row>
    <row r="10" spans="1:9" ht="15.75" customHeight="1" x14ac:dyDescent="0.25">
      <c r="A10" s="5">
        <f t="shared" si="3"/>
        <v>2029</v>
      </c>
      <c r="B10" s="49">
        <v>988565.00599999994</v>
      </c>
      <c r="C10" s="50">
        <v>1737000</v>
      </c>
      <c r="D10" s="50">
        <v>2831000</v>
      </c>
      <c r="E10" s="50">
        <v>2068000</v>
      </c>
      <c r="F10" s="50">
        <v>1493000</v>
      </c>
      <c r="G10" s="17">
        <f t="shared" si="0"/>
        <v>8129000</v>
      </c>
      <c r="H10" s="17">
        <f t="shared" si="1"/>
        <v>1145580.2318334673</v>
      </c>
      <c r="I10" s="17">
        <f t="shared" si="2"/>
        <v>6983419.7681665327</v>
      </c>
    </row>
    <row r="11" spans="1:9" ht="15.75" customHeight="1" x14ac:dyDescent="0.25">
      <c r="A11" s="5">
        <f t="shared" si="3"/>
        <v>2030</v>
      </c>
      <c r="B11" s="49">
        <v>999557.84</v>
      </c>
      <c r="C11" s="50">
        <v>1770000</v>
      </c>
      <c r="D11" s="50">
        <v>2915000</v>
      </c>
      <c r="E11" s="50">
        <v>2118000</v>
      </c>
      <c r="F11" s="50">
        <v>1546000</v>
      </c>
      <c r="G11" s="17">
        <f t="shared" si="0"/>
        <v>8349000</v>
      </c>
      <c r="H11" s="17">
        <f t="shared" si="1"/>
        <v>1158319.0737364215</v>
      </c>
      <c r="I11" s="17">
        <f t="shared" si="2"/>
        <v>7190680.9262635782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FA1IhmieaK0fCQxT0C2bScuDgisC5CAebE2gq39aNN+D0k+ZGN4OuSY/K5aWgEGf9qwtlnrw9vkxLjNzUGWD4Q==" saltValue="eVuRf0m4NnuNBexfSN/5q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2.1541708436659106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2.1541708436659106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1.8875432043352682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1.8875432043352682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1.7625771645649768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1.7625771645649768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1.5864124742929451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1.5864124742929451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2.586984910040627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2.586984910040627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2.2203719059609939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2.2203719059609939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1aFUOTBCPkT6fSY+xMVd5pKFCcmZ/f4HwHRSKTgzvn3/sF73LMceVMD1Uj7AwukgA59YKJ3pmKWQjQqy/QHE4A==" saltValue="LYlY2zh4Dhnbi+nengao3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F0anwel+FP+IJwTm4duXdHxkq8z85jZBdwaTLdHIua2sFtpqb4mz9f7vGlW15rBKhSM5Gw/gpGHuQOiHp2llFA==" saltValue="DZU+vOiuXfCCq7t0sdHN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smF4jmI3ySA7s4JfER7nM0xkbYTZi0TMB7s4R3zbhPzQcw9+KX4WyKO+ZbMfmbnJvZi6MhVTYdlstG0ta6Rlvg==" saltValue="EPOir7lNWZyvGG0pn2rg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0.59142792722429416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0.59142792722429416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0.85655139656912094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0.85655139656912094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0.85655139656912094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0.85655139656912094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0.39015643373969322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0.39015643373969322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0.82187582614158838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0.82187582614158838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0.82187582614158838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0.82187582614158838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0.90351057412081004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0.90351057412081004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0.89169205022150921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0.89169205022150921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0.89169205022150921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0.89169205022150921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ERCbQW8lQ9VhpxmR+paIYteY8h6TUL+jCxtXqOC2ir8AyFZ7Nwh+fZG2RLG/s+4bAoWU1qip3+X60WLKbHD3w==" saltValue="av8XKMiBY8WFITMTiUlg6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G0bqu+/BSMJFJlcxMNwNroZ3iPzN+kxFIr6gK1Xd+YzDv3/YT5WgVun8uqXnMh5Tv8XxhAzzYeTMAsFEq3MrFQ==" saltValue="fHrhAX4UuBcFmoePD3TYt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0.42709143180305092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0.52022411412045244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0.52022411412045244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0.56591839265781962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0.56591839265781962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0.56591839265781962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0.56591839265781962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0.60434094505991409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0.60434094505991409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0.60434094505991409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0.60434094505991409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0.53695865018005973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0.62779604378409104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0.62779604378409104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0.66974900924702785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0.66974900924702785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0.66974900924702785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0.66974900924702785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0.70379146919431268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0.70379146919431268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0.70379146919431268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0.70379146919431268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0.25391367197410525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0.33110792562326219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0.33110792562326219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0.37310910627163457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0.37310910627163457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0.37310910627163457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0.37310910627163457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0.41083047287258562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0.41083047287258562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0.41083047287258562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0.41083047287258562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0.40350264384885398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0.49594430607999851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0.49594430607999851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0.54191479615208427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0.54191479615208427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0.54191479615208427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0.54191479615208427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0.58088851634534777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0.58088851634534777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0.58088851634534777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0.58088851634534777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0.90360248053525116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0.93166668522550378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0.93166668522550378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0.94250560570344388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0.94250560570344388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0.94250560570344388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0.94250560570344388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0.95050974957933287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0.95050974957933287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0.95050974957933287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0.95050974957933287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0.76926353707708173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0.82903819284867719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0.82903819284867719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0.85359783324793215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0.85359783324793215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0.85359783324793215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0.85359783324793215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0.87230238794534543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0.87230238794534543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0.87230238794534543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0.87230238794534543</v>
      </c>
    </row>
  </sheetData>
  <sheetProtection algorithmName="SHA-512" hashValue="Wf8ATH1bTP48xwIc6GSFQmsgoMKaL9yftwxOdef72//YEBudWan1hu3sTDG7aOguv3MgklrgZr7vUa/kk2FiYA==" saltValue="WfifyLFyUsQWfRW4LD4x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0.85656189066143218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0.85696643103861947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0.85799805923488881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0.85862463441278924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0.85561605051718692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0.8543537343479487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0.85559274869867641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0.85724097374636765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0.77090570159528893</v>
      </c>
      <c r="E10" s="90">
        <f>E3*0.9</f>
        <v>0.77126978793475753</v>
      </c>
      <c r="F10" s="90">
        <f>F3*0.9</f>
        <v>0.77219825331139991</v>
      </c>
      <c r="G10" s="90">
        <f>G3*0.9</f>
        <v>0.77276217097151034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0.7700544454654682</v>
      </c>
      <c r="E12" s="90">
        <f>E5*0.9</f>
        <v>0.7689183609131538</v>
      </c>
      <c r="F12" s="90">
        <f>F5*0.9</f>
        <v>0.77003347382880882</v>
      </c>
      <c r="G12" s="90">
        <f>G5*0.9</f>
        <v>0.77151687637173094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0.89938998519450386</v>
      </c>
      <c r="E17" s="90">
        <f>E3*1.05</f>
        <v>0.89981475259055044</v>
      </c>
      <c r="F17" s="90">
        <f>F3*1.05</f>
        <v>0.90089796219663332</v>
      </c>
      <c r="G17" s="90">
        <f>G3*1.05</f>
        <v>0.90155586613342875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0.89839685304304628</v>
      </c>
      <c r="E19" s="90">
        <f>E5*1.05</f>
        <v>0.89707142106534621</v>
      </c>
      <c r="F19" s="90">
        <f>F5*1.05</f>
        <v>0.89837238613361026</v>
      </c>
      <c r="G19" s="90">
        <f>G5*1.05</f>
        <v>0.90010302243368612</v>
      </c>
    </row>
  </sheetData>
  <sheetProtection algorithmName="SHA-512" hashValue="tv0yGs07edUO63Wwykb7AYREke+5SstQMiaNrOwaG1Pbk9PLnokQh4exRiAY3O9Th0Q9sMIvOyGFWzQgpagPrQ==" saltValue="bqVHiYy/Wlnaj+WOj4CFG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ozmgp6uw1V6j3MR2hDxciEBQZjVrzcmMHQSuEHmfZe43nXwD4HVAXTCOWPMLIuhkbo26goD6ge0HS5jJU79gdg==" saltValue="A1esLCCUWtFQsxNuxRKZq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r6sk4pwvYkDUZ2iAqmTD0dWxFD7rQBrMb5xgx0Mhn+hQMWoCxlpQCsfAz718Oc24185D6BNX9bfVhzHt23h53A==" saltValue="65ce/rJLW3mr7iqjjTqD0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4.1404905479928171E-3</v>
      </c>
    </row>
    <row r="4" spans="1:8" ht="15.75" customHeight="1" x14ac:dyDescent="0.25">
      <c r="B4" s="19" t="s">
        <v>79</v>
      </c>
      <c r="C4" s="101">
        <v>0.15067724305083199</v>
      </c>
    </row>
    <row r="5" spans="1:8" ht="15.75" customHeight="1" x14ac:dyDescent="0.25">
      <c r="B5" s="19" t="s">
        <v>80</v>
      </c>
      <c r="C5" s="101">
        <v>7.1929353104269192E-2</v>
      </c>
    </row>
    <row r="6" spans="1:8" ht="15.75" customHeight="1" x14ac:dyDescent="0.25">
      <c r="B6" s="19" t="s">
        <v>81</v>
      </c>
      <c r="C6" s="101">
        <v>0.31100638650966139</v>
      </c>
    </row>
    <row r="7" spans="1:8" ht="15.75" customHeight="1" x14ac:dyDescent="0.25">
      <c r="B7" s="19" t="s">
        <v>82</v>
      </c>
      <c r="C7" s="101">
        <v>0.28811144877880068</v>
      </c>
    </row>
    <row r="8" spans="1:8" ht="15.75" customHeight="1" x14ac:dyDescent="0.25">
      <c r="B8" s="19" t="s">
        <v>83</v>
      </c>
      <c r="C8" s="101">
        <v>7.2973106631810244E-3</v>
      </c>
    </row>
    <row r="9" spans="1:8" ht="15.75" customHeight="1" x14ac:dyDescent="0.25">
      <c r="B9" s="19" t="s">
        <v>84</v>
      </c>
      <c r="C9" s="101">
        <v>8.5094546065110077E-2</v>
      </c>
    </row>
    <row r="10" spans="1:8" ht="15.75" customHeight="1" x14ac:dyDescent="0.25">
      <c r="B10" s="19" t="s">
        <v>85</v>
      </c>
      <c r="C10" s="101">
        <v>8.1743221280152809E-2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0.13173120612615169</v>
      </c>
      <c r="D14" s="55">
        <v>0.13173120612615169</v>
      </c>
      <c r="E14" s="55">
        <v>0.13173120612615169</v>
      </c>
      <c r="F14" s="55">
        <v>0.13173120612615169</v>
      </c>
    </row>
    <row r="15" spans="1:8" ht="15.75" customHeight="1" x14ac:dyDescent="0.25">
      <c r="B15" s="19" t="s">
        <v>88</v>
      </c>
      <c r="C15" s="101">
        <v>0.1844682332361591</v>
      </c>
      <c r="D15" s="101">
        <v>0.1844682332361591</v>
      </c>
      <c r="E15" s="101">
        <v>0.1844682332361591</v>
      </c>
      <c r="F15" s="101">
        <v>0.1844682332361591</v>
      </c>
    </row>
    <row r="16" spans="1:8" ht="15.75" customHeight="1" x14ac:dyDescent="0.25">
      <c r="B16" s="19" t="s">
        <v>89</v>
      </c>
      <c r="C16" s="101">
        <v>2.1910978784838761E-2</v>
      </c>
      <c r="D16" s="101">
        <v>2.1910978784838761E-2</v>
      </c>
      <c r="E16" s="101">
        <v>2.1910978784838761E-2</v>
      </c>
      <c r="F16" s="101">
        <v>2.1910978784838761E-2</v>
      </c>
    </row>
    <row r="17" spans="1:8" ht="15.75" customHeight="1" x14ac:dyDescent="0.25">
      <c r="B17" s="19" t="s">
        <v>90</v>
      </c>
      <c r="C17" s="101">
        <v>4.1593375876408578E-3</v>
      </c>
      <c r="D17" s="101">
        <v>4.1593375876408578E-3</v>
      </c>
      <c r="E17" s="101">
        <v>4.1593375876408578E-3</v>
      </c>
      <c r="F17" s="101">
        <v>4.1593375876408578E-3</v>
      </c>
    </row>
    <row r="18" spans="1:8" ht="15.75" customHeight="1" x14ac:dyDescent="0.25">
      <c r="B18" s="19" t="s">
        <v>91</v>
      </c>
      <c r="C18" s="101">
        <v>0.19811622928053149</v>
      </c>
      <c r="D18" s="101">
        <v>0.19811622928053149</v>
      </c>
      <c r="E18" s="101">
        <v>0.19811622928053149</v>
      </c>
      <c r="F18" s="101">
        <v>0.19811622928053149</v>
      </c>
    </row>
    <row r="19" spans="1:8" ht="15.75" customHeight="1" x14ac:dyDescent="0.25">
      <c r="B19" s="19" t="s">
        <v>92</v>
      </c>
      <c r="C19" s="101">
        <v>1.4454658450420311E-2</v>
      </c>
      <c r="D19" s="101">
        <v>1.4454658450420311E-2</v>
      </c>
      <c r="E19" s="101">
        <v>1.4454658450420311E-2</v>
      </c>
      <c r="F19" s="101">
        <v>1.4454658450420311E-2</v>
      </c>
    </row>
    <row r="20" spans="1:8" ht="15.75" customHeight="1" x14ac:dyDescent="0.25">
      <c r="B20" s="19" t="s">
        <v>93</v>
      </c>
      <c r="C20" s="101">
        <v>5.0624221235120288E-2</v>
      </c>
      <c r="D20" s="101">
        <v>5.0624221235120288E-2</v>
      </c>
      <c r="E20" s="101">
        <v>5.0624221235120288E-2</v>
      </c>
      <c r="F20" s="101">
        <v>5.0624221235120288E-2</v>
      </c>
    </row>
    <row r="21" spans="1:8" ht="15.75" customHeight="1" x14ac:dyDescent="0.25">
      <c r="B21" s="19" t="s">
        <v>94</v>
      </c>
      <c r="C21" s="101">
        <v>9.1773838695757823E-2</v>
      </c>
      <c r="D21" s="101">
        <v>9.1773838695757823E-2</v>
      </c>
      <c r="E21" s="101">
        <v>9.1773838695757823E-2</v>
      </c>
      <c r="F21" s="101">
        <v>9.1773838695757823E-2</v>
      </c>
    </row>
    <row r="22" spans="1:8" ht="15.75" customHeight="1" x14ac:dyDescent="0.25">
      <c r="B22" s="19" t="s">
        <v>95</v>
      </c>
      <c r="C22" s="101">
        <v>0.30276129660337969</v>
      </c>
      <c r="D22" s="101">
        <v>0.30276129660337969</v>
      </c>
      <c r="E22" s="101">
        <v>0.30276129660337969</v>
      </c>
      <c r="F22" s="101">
        <v>0.30276129660337969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0.103690241</v>
      </c>
    </row>
    <row r="27" spans="1:8" ht="15.75" customHeight="1" x14ac:dyDescent="0.25">
      <c r="B27" s="19" t="s">
        <v>102</v>
      </c>
      <c r="C27" s="101">
        <v>9.3634809999999999E-3</v>
      </c>
    </row>
    <row r="28" spans="1:8" ht="15.75" customHeight="1" x14ac:dyDescent="0.25">
      <c r="B28" s="19" t="s">
        <v>103</v>
      </c>
      <c r="C28" s="101">
        <v>0.116756885</v>
      </c>
    </row>
    <row r="29" spans="1:8" ht="15.75" customHeight="1" x14ac:dyDescent="0.25">
      <c r="B29" s="19" t="s">
        <v>104</v>
      </c>
      <c r="C29" s="101">
        <v>0.15363832899999999</v>
      </c>
    </row>
    <row r="30" spans="1:8" ht="15.75" customHeight="1" x14ac:dyDescent="0.25">
      <c r="B30" s="19" t="s">
        <v>2</v>
      </c>
      <c r="C30" s="101">
        <v>0.13426711399999999</v>
      </c>
    </row>
    <row r="31" spans="1:8" ht="15.75" customHeight="1" x14ac:dyDescent="0.25">
      <c r="B31" s="19" t="s">
        <v>105</v>
      </c>
      <c r="C31" s="101">
        <v>6.5823823000000004E-2</v>
      </c>
    </row>
    <row r="32" spans="1:8" ht="15.75" customHeight="1" x14ac:dyDescent="0.25">
      <c r="B32" s="19" t="s">
        <v>106</v>
      </c>
      <c r="C32" s="101">
        <v>6.84434E-3</v>
      </c>
    </row>
    <row r="33" spans="2:3" ht="15.75" customHeight="1" x14ac:dyDescent="0.25">
      <c r="B33" s="19" t="s">
        <v>107</v>
      </c>
      <c r="C33" s="101">
        <v>0.192122402</v>
      </c>
    </row>
    <row r="34" spans="2:3" ht="15.75" customHeight="1" x14ac:dyDescent="0.25">
      <c r="B34" s="19" t="s">
        <v>108</v>
      </c>
      <c r="C34" s="101">
        <v>0.21749338600000001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JbCFIP5Y2nm8/J6c50j25lUzi9ZJbnRtpBoRblr4lSM12UXl8A/6OaSZN1nCVpHOruujqjLiKLJW483DGEqNyw==" saltValue="RILi2OgZMDoQlIB+49FZQ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0.45978296995326162</v>
      </c>
      <c r="D2" s="52">
        <f>IFERROR(1-_xlfn.NORM.DIST(_xlfn.NORM.INV(SUM(D4:D5), 0, 1) + 1, 0, 1, TRUE), "")</f>
        <v>0.45978296995326162</v>
      </c>
      <c r="E2" s="52">
        <f>IFERROR(1-_xlfn.NORM.DIST(_xlfn.NORM.INV(SUM(E4:E5), 0, 1) + 1, 0, 1, TRUE), "")</f>
        <v>0.45765332970858608</v>
      </c>
      <c r="F2" s="52">
        <f>IFERROR(1-_xlfn.NORM.DIST(_xlfn.NORM.INV(SUM(F4:F5), 0, 1) + 1, 0, 1, TRUE), "")</f>
        <v>0.25017701585838048</v>
      </c>
      <c r="G2" s="52">
        <f>IFERROR(1-_xlfn.NORM.DIST(_xlfn.NORM.INV(SUM(G4:G5), 0, 1) + 1, 0, 1, TRUE), "")</f>
        <v>0.31120579047438734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0.35589589304673841</v>
      </c>
      <c r="D3" s="52">
        <f>IFERROR(_xlfn.NORM.DIST(_xlfn.NORM.INV(SUM(D4:D5), 0, 1) + 1, 0, 1, TRUE) - SUM(D4:D5), "")</f>
        <v>0.35589589304673841</v>
      </c>
      <c r="E3" s="52">
        <f>IFERROR(_xlfn.NORM.DIST(_xlfn.NORM.INV(SUM(E4:E5), 0, 1) + 1, 0, 1, TRUE) - SUM(E4:E5), "")</f>
        <v>0.35659275129141393</v>
      </c>
      <c r="F3" s="52">
        <f>IFERROR(_xlfn.NORM.DIST(_xlfn.NORM.INV(SUM(F4:F5), 0, 1) + 1, 0, 1, TRUE) - SUM(F4:F5), "")</f>
        <v>0.37763622414161951</v>
      </c>
      <c r="G3" s="52">
        <f>IFERROR(_xlfn.NORM.DIST(_xlfn.NORM.INV(SUM(G4:G5), 0, 1) + 1, 0, 1, TRUE) - SUM(G4:G5), "")</f>
        <v>0.38291484952561261</v>
      </c>
    </row>
    <row r="4" spans="1:15" ht="15.75" customHeight="1" x14ac:dyDescent="0.25">
      <c r="B4" s="5" t="s">
        <v>114</v>
      </c>
      <c r="C4" s="45">
        <v>9.7501773999999999E-2</v>
      </c>
      <c r="D4" s="53">
        <v>9.7501773999999999E-2</v>
      </c>
      <c r="E4" s="53">
        <v>6.8176278999999992E-2</v>
      </c>
      <c r="F4" s="53">
        <v>0.21162142</v>
      </c>
      <c r="G4" s="53">
        <v>0.16220327000000001</v>
      </c>
    </row>
    <row r="5" spans="1:15" ht="15.75" customHeight="1" x14ac:dyDescent="0.25">
      <c r="B5" s="5" t="s">
        <v>115</v>
      </c>
      <c r="C5" s="45">
        <v>8.6819362999999997E-2</v>
      </c>
      <c r="D5" s="53">
        <v>8.6819362999999997E-2</v>
      </c>
      <c r="E5" s="53">
        <v>0.11757764</v>
      </c>
      <c r="F5" s="53">
        <v>0.16056534</v>
      </c>
      <c r="G5" s="53">
        <v>0.14367609000000001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0.70147133385984539</v>
      </c>
      <c r="D8" s="52">
        <f>IFERROR(1-_xlfn.NORM.DIST(_xlfn.NORM.INV(SUM(D10:D11), 0, 1) + 1, 0, 1, TRUE), "")</f>
        <v>0.70147133385984539</v>
      </c>
      <c r="E8" s="52">
        <f>IFERROR(1-_xlfn.NORM.DIST(_xlfn.NORM.INV(SUM(E10:E11), 0, 1) + 1, 0, 1, TRUE), "")</f>
        <v>0.68358083809839942</v>
      </c>
      <c r="F8" s="52">
        <f>IFERROR(1-_xlfn.NORM.DIST(_xlfn.NORM.INV(SUM(F10:F11), 0, 1) + 1, 0, 1, TRUE), "")</f>
        <v>0.73463224279008088</v>
      </c>
      <c r="G8" s="52">
        <f>IFERROR(1-_xlfn.NORM.DIST(_xlfn.NORM.INV(SUM(G10:G11), 0, 1) + 1, 0, 1, TRUE), "")</f>
        <v>0.7961269415510005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0.23535142914015461</v>
      </c>
      <c r="D9" s="52">
        <f>IFERROR(_xlfn.NORM.DIST(_xlfn.NORM.INV(SUM(D10:D11), 0, 1) + 1, 0, 1, TRUE) - SUM(D10:D11), "")</f>
        <v>0.23535142914015461</v>
      </c>
      <c r="E9" s="52">
        <f>IFERROR(_xlfn.NORM.DIST(_xlfn.NORM.INV(SUM(E10:E11), 0, 1) + 1, 0, 1, TRUE) - SUM(E10:E11), "")</f>
        <v>0.24667989590160064</v>
      </c>
      <c r="F9" s="52">
        <f>IFERROR(_xlfn.NORM.DIST(_xlfn.NORM.INV(SUM(F10:F11), 0, 1) + 1, 0, 1, TRUE) - SUM(F10:F11), "")</f>
        <v>0.21348685020991912</v>
      </c>
      <c r="G9" s="52">
        <f>IFERROR(_xlfn.NORM.DIST(_xlfn.NORM.INV(SUM(G10:G11), 0, 1) + 1, 0, 1, TRUE) - SUM(G10:G11), "")</f>
        <v>0.17008826244899952</v>
      </c>
    </row>
    <row r="10" spans="1:15" ht="15.75" customHeight="1" x14ac:dyDescent="0.25">
      <c r="B10" s="5" t="s">
        <v>119</v>
      </c>
      <c r="C10" s="45">
        <v>3.5305971999999998E-2</v>
      </c>
      <c r="D10" s="53">
        <v>3.5305971999999998E-2</v>
      </c>
      <c r="E10" s="53">
        <v>4.5077882E-2</v>
      </c>
      <c r="F10" s="53">
        <v>3.5487905E-2</v>
      </c>
      <c r="G10" s="53">
        <v>2.2472625E-2</v>
      </c>
    </row>
    <row r="11" spans="1:15" ht="15.75" customHeight="1" x14ac:dyDescent="0.25">
      <c r="B11" s="5" t="s">
        <v>120</v>
      </c>
      <c r="C11" s="45">
        <v>2.7871264999999999E-2</v>
      </c>
      <c r="D11" s="53">
        <v>2.7871264999999999E-2</v>
      </c>
      <c r="E11" s="53">
        <v>2.4661384000000001E-2</v>
      </c>
      <c r="F11" s="53">
        <v>1.6393002E-2</v>
      </c>
      <c r="G11" s="53">
        <v>1.1312170999999999E-2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0.72753117025000014</v>
      </c>
      <c r="D14" s="54">
        <v>0.71009141495200001</v>
      </c>
      <c r="E14" s="54">
        <v>0.71009141495200001</v>
      </c>
      <c r="F14" s="54">
        <v>0.57832524795899998</v>
      </c>
      <c r="G14" s="54">
        <v>0.57832524795899998</v>
      </c>
      <c r="H14" s="45">
        <v>0.49299999999999999</v>
      </c>
      <c r="I14" s="55">
        <v>0.49299999999999999</v>
      </c>
      <c r="J14" s="55">
        <v>0.49299999999999999</v>
      </c>
      <c r="K14" s="55">
        <v>0.49299999999999999</v>
      </c>
      <c r="L14" s="45">
        <v>0.40600000000000003</v>
      </c>
      <c r="M14" s="55">
        <v>0.40600000000000003</v>
      </c>
      <c r="N14" s="55">
        <v>0.40600000000000003</v>
      </c>
      <c r="O14" s="55">
        <v>0.40600000000000003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0.33100485652864253</v>
      </c>
      <c r="D15" s="52">
        <f t="shared" si="0"/>
        <v>0.32307029106071145</v>
      </c>
      <c r="E15" s="52">
        <f t="shared" si="0"/>
        <v>0.32307029106071145</v>
      </c>
      <c r="F15" s="52">
        <f t="shared" si="0"/>
        <v>0.26312063806390623</v>
      </c>
      <c r="G15" s="52">
        <f t="shared" si="0"/>
        <v>0.26312063806390623</v>
      </c>
      <c r="H15" s="52">
        <f t="shared" si="0"/>
        <v>0.22430021</v>
      </c>
      <c r="I15" s="52">
        <f t="shared" si="0"/>
        <v>0.22430021</v>
      </c>
      <c r="J15" s="52">
        <f t="shared" si="0"/>
        <v>0.22430021</v>
      </c>
      <c r="K15" s="52">
        <f t="shared" si="0"/>
        <v>0.22430021</v>
      </c>
      <c r="L15" s="52">
        <f t="shared" si="0"/>
        <v>0.18471782</v>
      </c>
      <c r="M15" s="52">
        <f t="shared" si="0"/>
        <v>0.18471782</v>
      </c>
      <c r="N15" s="52">
        <f t="shared" si="0"/>
        <v>0.18471782</v>
      </c>
      <c r="O15" s="52">
        <f t="shared" si="0"/>
        <v>0.18471782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+x4jQb9vQfH7NDIHMg6ujBahTYeynMK/UR96kbI8pwtYMBy7AcAYZyNoEmIChVsVK8vp4Co88Cw2Pxx+MB9n0Q==" saltValue="qXZGjoZheAoxeaGljrmxf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0.51480320000000002</v>
      </c>
      <c r="D2" s="53">
        <v>0.36904480000000001</v>
      </c>
      <c r="E2" s="53"/>
      <c r="F2" s="53"/>
      <c r="G2" s="53"/>
    </row>
    <row r="3" spans="1:7" x14ac:dyDescent="0.25">
      <c r="B3" s="3" t="s">
        <v>130</v>
      </c>
      <c r="C3" s="53">
        <v>0.31314429999999999</v>
      </c>
      <c r="D3" s="53">
        <v>0.31275219999999998</v>
      </c>
      <c r="E3" s="53"/>
      <c r="F3" s="53"/>
      <c r="G3" s="53"/>
    </row>
    <row r="4" spans="1:7" x14ac:dyDescent="0.25">
      <c r="B4" s="3" t="s">
        <v>131</v>
      </c>
      <c r="C4" s="53">
        <v>9.5658790000000007E-2</v>
      </c>
      <c r="D4" s="53">
        <v>0.23787730000000001</v>
      </c>
      <c r="E4" s="53">
        <v>0.8988366723060609</v>
      </c>
      <c r="F4" s="53">
        <v>0.46314078569412198</v>
      </c>
      <c r="G4" s="53"/>
    </row>
    <row r="5" spans="1:7" x14ac:dyDescent="0.25">
      <c r="B5" s="3" t="s">
        <v>132</v>
      </c>
      <c r="C5" s="52">
        <v>7.639377E-2</v>
      </c>
      <c r="D5" s="52">
        <v>8.032576000000001E-2</v>
      </c>
      <c r="E5" s="52">
        <f>1-SUM(E2:E4)</f>
        <v>0.1011633276939391</v>
      </c>
      <c r="F5" s="52">
        <f>1-SUM(F2:F4)</f>
        <v>0.53685921430587802</v>
      </c>
      <c r="G5" s="52">
        <f>1-SUM(G2:G4)</f>
        <v>1</v>
      </c>
    </row>
  </sheetData>
  <sheetProtection algorithmName="SHA-512" hashValue="IM191E/kdMQX0ZXmT6D9EtpvCa4nDkqR9CeC9rBzbz5UKKqLcaMdi1TGH/v/spp6RrS/U3ucu/X4cbS9ElekRQ==" saltValue="SL2bTEQ3q+9nTBIY3dMMN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dqQkCDta3XZ/aUlTf4VJ8yqWTUkEYuXtDgcxTpOml/IVrLMjYrKJ5l6Xf7sRcekC/7Y83ueHvopnhDHI4k/tCw==" saltValue="VIsljfZvSC6vyJGG11OD6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We7UBZLHVth7v00bYD4Mj9WxhkqJhhnUneuswFiIRzGE+7wuqKfR1hAC42yjI9REDgbM9QVeG8RJhlVDAFOU0g==" saltValue="gSfAIshog730rUtwcneLk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xvdp79onYtjMABrtOpq1AnuRktOa6Tyns6e2MCLq15MXGTBzNgg82TgCr9RjHGdXgaEHGbnD+POdKKufyWGDsQ==" saltValue="MaI1oe/ME4GwgM1+XJJu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zVK9t4ibuhytlORNXp4KjMkuRiwGCTQ0w691QPaIXj5w5xoh0wrmDd5Fqc0qpgauSYQcHr3P08z8cqPGi2LvCg==" saltValue="ClMSFK9XovmgJQFDVw8PO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2024-03-15T02:50:14Z</dcterms:modified>
</cp:coreProperties>
</file>