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5513A6C7-3459-4432-A024-501AFF10681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G17" i="26"/>
  <c r="F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A39" i="2"/>
  <c r="H38" i="2"/>
  <c r="G38" i="2"/>
  <c r="I38" i="2" s="1"/>
  <c r="A31" i="2"/>
  <c r="A30" i="2"/>
  <c r="A29" i="2"/>
  <c r="A15" i="2"/>
  <c r="A14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A2" i="2"/>
  <c r="A36" i="2" s="1"/>
  <c r="C33" i="1"/>
  <c r="C20" i="1"/>
  <c r="A34" i="2" l="1"/>
  <c r="D19" i="26"/>
  <c r="A18" i="2"/>
  <c r="I2" i="2"/>
  <c r="I6" i="2"/>
  <c r="I10" i="2"/>
  <c r="A21" i="2"/>
  <c r="A37" i="2"/>
  <c r="A40" i="2"/>
  <c r="A22" i="2"/>
  <c r="A38" i="2"/>
  <c r="I40" i="2"/>
  <c r="F12" i="26"/>
  <c r="A23" i="2"/>
  <c r="G12" i="26"/>
  <c r="A26" i="2"/>
  <c r="D10" i="26"/>
  <c r="E19" i="26"/>
  <c r="E10" i="26"/>
  <c r="A3" i="2"/>
  <c r="A32" i="2"/>
  <c r="A16" i="2"/>
  <c r="A24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<sst xmlns="http://schemas.openxmlformats.org/spreadsheetml/2006/main" count="2092" uniqueCount="337">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</sst>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114037.181640625</v>
      </c>
    </row>
    <row r="8" spans="1:3" ht="15" customHeight="1" x14ac:dyDescent="0.25">
      <c r="B8" s="5" t="s">
        <v>19</v>
      </c>
      <c r="C8" s="44">
        <v>0.17899999999999999</v>
      </c>
    </row>
    <row r="9" spans="1:3" ht="15" customHeight="1" x14ac:dyDescent="0.25">
      <c r="B9" s="5" t="s">
        <v>20</v>
      </c>
      <c r="C9" s="45">
        <v>0.5</v>
      </c>
    </row>
    <row r="10" spans="1:3" ht="15" customHeight="1" x14ac:dyDescent="0.25">
      <c r="B10" s="5" t="s">
        <v>21</v>
      </c>
      <c r="C10" s="45">
        <v>0.44813041687011701</v>
      </c>
    </row>
    <row r="11" spans="1:3" ht="15" customHeight="1" x14ac:dyDescent="0.25">
      <c r="B11" s="5" t="s">
        <v>22</v>
      </c>
      <c r="C11" s="45">
        <v>0.48899999999999999</v>
      </c>
    </row>
    <row r="12" spans="1:3" ht="15" customHeight="1" x14ac:dyDescent="0.25">
      <c r="B12" s="5" t="s">
        <v>23</v>
      </c>
      <c r="C12" s="45">
        <v>0.38100000000000001</v>
      </c>
    </row>
    <row r="13" spans="1:3" ht="15" customHeight="1" x14ac:dyDescent="0.25">
      <c r="B13" s="5" t="s">
        <v>24</v>
      </c>
      <c r="C13" s="45">
        <v>0.72199999999999998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8.2599999999999993E-2</v>
      </c>
    </row>
    <row r="24" spans="1:3" ht="15" customHeight="1" x14ac:dyDescent="0.25">
      <c r="B24" s="15" t="s">
        <v>33</v>
      </c>
      <c r="C24" s="45">
        <v>0.42909999999999998</v>
      </c>
    </row>
    <row r="25" spans="1:3" ht="15" customHeight="1" x14ac:dyDescent="0.25">
      <c r="B25" s="15" t="s">
        <v>34</v>
      </c>
      <c r="C25" s="45">
        <v>0.38800000000000001</v>
      </c>
    </row>
    <row r="26" spans="1:3" ht="15" customHeight="1" x14ac:dyDescent="0.25">
      <c r="B26" s="15" t="s">
        <v>35</v>
      </c>
      <c r="C26" s="45">
        <v>0.1003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0.22550533799323499</v>
      </c>
    </row>
    <row r="30" spans="1:3" ht="14.25" customHeight="1" x14ac:dyDescent="0.25">
      <c r="B30" s="25" t="s">
        <v>38</v>
      </c>
      <c r="C30" s="99">
        <v>9.9346175527019603E-2</v>
      </c>
    </row>
    <row r="31" spans="1:3" ht="14.25" customHeight="1" x14ac:dyDescent="0.25">
      <c r="B31" s="25" t="s">
        <v>39</v>
      </c>
      <c r="C31" s="99">
        <v>0.131206784596064</v>
      </c>
    </row>
    <row r="32" spans="1:3" ht="14.25" customHeight="1" x14ac:dyDescent="0.25">
      <c r="B32" s="25" t="s">
        <v>40</v>
      </c>
      <c r="C32" s="99">
        <v>0.54394170188368196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29.820716260078701</v>
      </c>
    </row>
    <row r="38" spans="1:5" ht="15" customHeight="1" x14ac:dyDescent="0.25">
      <c r="B38" s="11" t="s">
        <v>45</v>
      </c>
      <c r="C38" s="43">
        <v>48.280046118445597</v>
      </c>
      <c r="D38" s="12"/>
      <c r="E38" s="13"/>
    </row>
    <row r="39" spans="1:5" ht="15" customHeight="1" x14ac:dyDescent="0.25">
      <c r="B39" s="11" t="s">
        <v>46</v>
      </c>
      <c r="C39" s="43">
        <v>62.892555854424401</v>
      </c>
      <c r="D39" s="12"/>
      <c r="E39" s="12"/>
    </row>
    <row r="40" spans="1:5" ht="15" customHeight="1" x14ac:dyDescent="0.25">
      <c r="B40" s="11" t="s">
        <v>47</v>
      </c>
      <c r="C40" s="100">
        <v>2.73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24.571040719999999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2.8666E-3</v>
      </c>
      <c r="D45" s="12"/>
    </row>
    <row r="46" spans="1:5" ht="15.75" customHeight="1" x14ac:dyDescent="0.25">
      <c r="B46" s="11" t="s">
        <v>52</v>
      </c>
      <c r="C46" s="45">
        <v>8.5724300000000003E-2</v>
      </c>
      <c r="D46" s="12"/>
    </row>
    <row r="47" spans="1:5" ht="15.75" customHeight="1" x14ac:dyDescent="0.25">
      <c r="B47" s="11" t="s">
        <v>53</v>
      </c>
      <c r="C47" s="45">
        <v>0.1424272</v>
      </c>
      <c r="D47" s="12"/>
      <c r="E47" s="13"/>
    </row>
    <row r="48" spans="1:5" ht="15" customHeight="1" x14ac:dyDescent="0.25">
      <c r="B48" s="11" t="s">
        <v>54</v>
      </c>
      <c r="C48" s="46">
        <v>0.7689819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0.50987099999999996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0.23696138</v>
      </c>
    </row>
    <row r="63" spans="1:4" ht="15.75" customHeight="1" x14ac:dyDescent="0.3">
      <c r="A63" s="4"/>
    </row>
  </sheetData>
  <sheetProtection algorithmName="SHA-512" hashValue="moh9Y4Xf0X2qDrR8393B/b3Qum465GMYOiRopKp5mIfPtHeCwcxIWxI5ynodQsp2Qm1rWsKoim7FdPuVKVtxIw==" saltValue="0uYD/SOUwPQ6gzQ1fb3F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6.548998752236361E-2</v>
      </c>
      <c r="C2" s="98">
        <v>0.95</v>
      </c>
      <c r="D2" s="56">
        <v>36.540660925828377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47.401530614166028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77.508008463184325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0.42239370577386598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15.06077994466111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15.06077994466111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15.06077994466111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15.06077994466111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15.06077994466111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15.06077994466111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0.13326295878887201</v>
      </c>
      <c r="C16" s="98">
        <v>0.95</v>
      </c>
      <c r="D16" s="56">
        <v>0.26336840749810442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1.888235787121497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1.888235787121497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0.60416091920000004</v>
      </c>
      <c r="C21" s="98">
        <v>0.95</v>
      </c>
      <c r="D21" s="56">
        <v>2.9482071390190878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25.674441615856921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1E-3</v>
      </c>
      <c r="C23" s="98">
        <v>0.95</v>
      </c>
      <c r="D23" s="56">
        <v>4.9386229663401986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0.40842643134578599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7.2826835748553198E-2</v>
      </c>
      <c r="C27" s="98">
        <v>0.95</v>
      </c>
      <c r="D27" s="56">
        <v>21.771690430316362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0.37546259999999998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64.60318420710658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0.25009999999999999</v>
      </c>
      <c r="C31" s="98">
        <v>0.95</v>
      </c>
      <c r="D31" s="56">
        <v>1.490832642559617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0.10688060000000001</v>
      </c>
      <c r="C32" s="98">
        <v>0.95</v>
      </c>
      <c r="D32" s="56">
        <v>0.50363021046247736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0.35856624116232799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0.11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4.2045400477945796E-3</v>
      </c>
      <c r="C38" s="98">
        <v>0.95</v>
      </c>
      <c r="D38" s="56">
        <v>4.52511708702849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0.21526239999999999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T+TXellpWB82kgXtX6/FCRyOHqgVye6ovdY8cyrkdtYLoFNdK5tS3MBz4L8ZVkoLNEcsEqn6BzcZpWOikgFdSw==" saltValue="z5ofGQBkRI4CnCdy0VlZ7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/IDz9GP+V9Eb+VyeY34xrej0pnPc+bpCjU1rjx1nD2YXzcAFIOo8OJYaWf1vivG4VajZAri3Om7Gi/PauT2hIA==" saltValue="GsaWx4seV/mggTonnY/xV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kElZyAPM4HCeslE1QtzosMPBwFuqI9CoP0e/Kmv/aRSzbcASl5nElwK7UZ8RepqPd1ew9LP7ar0qpQ4oUWYxDw==" saltValue="HYOgsQFgz7J0Na9fJKTqr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0.21638733595609677</v>
      </c>
      <c r="C3" s="21">
        <f>frac_mam_1_5months * 2.6</f>
        <v>0.21638733595609677</v>
      </c>
      <c r="D3" s="21">
        <f>frac_mam_6_11months * 2.6</f>
        <v>0.33033131062984517</v>
      </c>
      <c r="E3" s="21">
        <f>frac_mam_12_23months * 2.6</f>
        <v>0.22335972338914886</v>
      </c>
      <c r="F3" s="21">
        <f>frac_mam_24_59months * 2.6</f>
        <v>0.12652350366115564</v>
      </c>
    </row>
    <row r="4" spans="1:6" ht="15.75" customHeight="1" x14ac:dyDescent="0.25">
      <c r="A4" s="3" t="s">
        <v>208</v>
      </c>
      <c r="B4" s="21">
        <f>frac_sam_1month * 2.6</f>
        <v>0.25582495927810667</v>
      </c>
      <c r="C4" s="21">
        <f>frac_sam_1_5months * 2.6</f>
        <v>0.25582495927810667</v>
      </c>
      <c r="D4" s="21">
        <f>frac_sam_6_11months * 2.6</f>
        <v>0.1515678822994232</v>
      </c>
      <c r="E4" s="21">
        <f>frac_sam_12_23months * 2.6</f>
        <v>9.8114255070686399E-2</v>
      </c>
      <c r="F4" s="21">
        <f>frac_sam_24_59months * 2.6</f>
        <v>9.182800650596612E-2</v>
      </c>
    </row>
  </sheetData>
  <sheetProtection algorithmName="SHA-512" hashValue="v0PJdoV4iUjmPKY6DF08vd2WHlVSIL3g9prqK0Yhat9W1GsC6/+wPc7jOq44UBP9Jnk9q/WY+amogrYe4KlKRg==" saltValue="K3iT0aosI8x5P8QBlE6g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0.17899999999999999</v>
      </c>
      <c r="E2" s="60">
        <f>food_insecure</f>
        <v>0.17899999999999999</v>
      </c>
      <c r="F2" s="60">
        <f>food_insecure</f>
        <v>0.17899999999999999</v>
      </c>
      <c r="G2" s="60">
        <f>food_insecure</f>
        <v>0.17899999999999999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0.17899999999999999</v>
      </c>
      <c r="F5" s="60">
        <f>food_insecure</f>
        <v>0.17899999999999999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0.17899999999999999</v>
      </c>
      <c r="F8" s="60">
        <f>food_insecure</f>
        <v>0.17899999999999999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0.17899999999999999</v>
      </c>
      <c r="F9" s="60">
        <f>food_insecure</f>
        <v>0.17899999999999999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0.38100000000000001</v>
      </c>
      <c r="E10" s="60">
        <f>IF(ISBLANK(comm_deliv), frac_children_health_facility,1)</f>
        <v>0.38100000000000001</v>
      </c>
      <c r="F10" s="60">
        <f>IF(ISBLANK(comm_deliv), frac_children_health_facility,1)</f>
        <v>0.38100000000000001</v>
      </c>
      <c r="G10" s="60">
        <f>IF(ISBLANK(comm_deliv), frac_children_health_facility,1)</f>
        <v>0.38100000000000001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0.17899999999999999</v>
      </c>
      <c r="I15" s="60">
        <f>food_insecure</f>
        <v>0.17899999999999999</v>
      </c>
      <c r="J15" s="60">
        <f>food_insecure</f>
        <v>0.17899999999999999</v>
      </c>
      <c r="K15" s="60">
        <f>food_insecure</f>
        <v>0.17899999999999999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0.48899999999999999</v>
      </c>
      <c r="I18" s="60">
        <f>frac_PW_health_facility</f>
        <v>0.48899999999999999</v>
      </c>
      <c r="J18" s="60">
        <f>frac_PW_health_facility</f>
        <v>0.48899999999999999</v>
      </c>
      <c r="K18" s="60">
        <f>frac_PW_health_facility</f>
        <v>0.48899999999999999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</v>
      </c>
      <c r="I19" s="60">
        <f>frac_malaria_risk</f>
        <v>0.5</v>
      </c>
      <c r="J19" s="60">
        <f>frac_malaria_risk</f>
        <v>0.5</v>
      </c>
      <c r="K19" s="60">
        <f>frac_malaria_risk</f>
        <v>0.5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0.72199999999999998</v>
      </c>
      <c r="M24" s="60">
        <f>famplan_unmet_need</f>
        <v>0.72199999999999998</v>
      </c>
      <c r="N24" s="60">
        <f>famplan_unmet_need</f>
        <v>0.72199999999999998</v>
      </c>
      <c r="O24" s="60">
        <f>famplan_unmet_need</f>
        <v>0.72199999999999998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0.29116087336349494</v>
      </c>
      <c r="M25" s="60">
        <f>(1-food_insecure)*(0.49)+food_insecure*(0.7)</f>
        <v>0.52759</v>
      </c>
      <c r="N25" s="60">
        <f>(1-food_insecure)*(0.49)+food_insecure*(0.7)</f>
        <v>0.52759</v>
      </c>
      <c r="O25" s="60">
        <f>(1-food_insecure)*(0.49)+food_insecure*(0.7)</f>
        <v>0.52759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0.12478323144149783</v>
      </c>
      <c r="M26" s="60">
        <f>(1-food_insecure)*(0.21)+food_insecure*(0.3)</f>
        <v>0.22610999999999998</v>
      </c>
      <c r="N26" s="60">
        <f>(1-food_insecure)*(0.21)+food_insecure*(0.3)</f>
        <v>0.22610999999999998</v>
      </c>
      <c r="O26" s="60">
        <f>(1-food_insecure)*(0.21)+food_insecure*(0.3)</f>
        <v>0.22610999999999998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0.13592547832489016</v>
      </c>
      <c r="M27" s="60">
        <f>(1-food_insecure)*(0.3)</f>
        <v>0.24629999999999996</v>
      </c>
      <c r="N27" s="60">
        <f>(1-food_insecure)*(0.3)</f>
        <v>0.24629999999999996</v>
      </c>
      <c r="O27" s="60">
        <f>(1-food_insecure)*(0.3)</f>
        <v>0.24629999999999996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0.44813041687011701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0.5</v>
      </c>
      <c r="D34" s="60">
        <f t="shared" si="3"/>
        <v>0.5</v>
      </c>
      <c r="E34" s="60">
        <f t="shared" si="3"/>
        <v>0.5</v>
      </c>
      <c r="F34" s="60">
        <f t="shared" si="3"/>
        <v>0.5</v>
      </c>
      <c r="G34" s="60">
        <f t="shared" si="3"/>
        <v>0.5</v>
      </c>
      <c r="H34" s="60">
        <f t="shared" si="3"/>
        <v>0.5</v>
      </c>
      <c r="I34" s="60">
        <f t="shared" si="3"/>
        <v>0.5</v>
      </c>
      <c r="J34" s="60">
        <f t="shared" si="3"/>
        <v>0.5</v>
      </c>
      <c r="K34" s="60">
        <f t="shared" si="3"/>
        <v>0.5</v>
      </c>
      <c r="L34" s="60">
        <f t="shared" si="3"/>
        <v>0.5</v>
      </c>
      <c r="M34" s="60">
        <f t="shared" si="3"/>
        <v>0.5</v>
      </c>
      <c r="N34" s="60">
        <f t="shared" si="3"/>
        <v>0.5</v>
      </c>
      <c r="O34" s="60">
        <f t="shared" si="3"/>
        <v>0.5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Qy5GNxYZhvjJ2/tDkKj0ZlwIP9RURSl2TtHpDJa5RFLEGm9fZqttnqn+dPYO2jmPDq2ADZ4mYRPi1cuep+7EDA==" saltValue="SSguAeYX2d9mcTzK04Z0P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0scXl9D2KaVM30Uxk2Vhbr3eLisiQNGxd65+frCoeRdP7yj1SLBxE7JIFEDWBBDIVjiaTgFWlBcNbbxHjKZ/fg==" saltValue="FgPApseAtvEwJRObsV75z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6IYvd7MzLfNc+3uRNuAp4FBoxQiRcu+BCFtmfw8TvA5yMwjdzUf5XZIEZak5hlZIcE8HSVU7BOY6pcaXrKruAA==" saltValue="yulxgEws4hm8aFwLDMvdN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jkt9JzN/Xvh+yv4K9Lo+tpjRcTOfzCKAsRl7FeBdvDGgwF6w7vUv31WCHNV/hSaDWbK5hR4BW8W5zc23iqNKZA==" saltValue="uW4L3L43TRXfcS+ac2tGv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IhZXUhi48+9IR4/bJQakxbG43Kc9pzEEmp9rAQnGY0Evzam+LMvNUgVY7Bael4N4Rs/s28JNSZNgUEfN2Va7A==" saltValue="sqjy6ZW0lkjhNd9iiOo4I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zkrdqMggAE+/SPjYrpnNuRBo5COC5nZK/psrVTwBLI8xKfMxmLQuUCjBbyA30/Ud1MQkYTM9PzX18PIHeBrzQ==" saltValue="G1EDrNY2nGCwAqHrHk8OM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27074.9424</v>
      </c>
      <c r="C2" s="49">
        <v>45000</v>
      </c>
      <c r="D2" s="49">
        <v>76000</v>
      </c>
      <c r="E2" s="49">
        <v>60000</v>
      </c>
      <c r="F2" s="49">
        <v>40000</v>
      </c>
      <c r="G2" s="17">
        <f t="shared" ref="G2:G11" si="0">C2+D2+E2+F2</f>
        <v>221000</v>
      </c>
      <c r="H2" s="17">
        <f t="shared" ref="H2:H11" si="1">(B2 + stillbirth*B2/(1000-stillbirth))/(1-abortion)</f>
        <v>31541.999760505612</v>
      </c>
      <c r="I2" s="17">
        <f t="shared" ref="I2:I11" si="2">G2-H2</f>
        <v>189458.00023949437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27267.6852</v>
      </c>
      <c r="C3" s="50">
        <v>46000</v>
      </c>
      <c r="D3" s="50">
        <v>77000</v>
      </c>
      <c r="E3" s="50">
        <v>61000</v>
      </c>
      <c r="F3" s="50">
        <v>41000</v>
      </c>
      <c r="G3" s="17">
        <f t="shared" si="0"/>
        <v>225000</v>
      </c>
      <c r="H3" s="17">
        <f t="shared" si="1"/>
        <v>31766.542928931307</v>
      </c>
      <c r="I3" s="17">
        <f t="shared" si="2"/>
        <v>193233.4570710687</v>
      </c>
    </row>
    <row r="4" spans="1:9" ht="15.75" customHeight="1" x14ac:dyDescent="0.25">
      <c r="A4" s="5">
        <f t="shared" si="3"/>
        <v>2023</v>
      </c>
      <c r="B4" s="49">
        <v>27444.23239999999</v>
      </c>
      <c r="C4" s="50">
        <v>47000</v>
      </c>
      <c r="D4" s="50">
        <v>78000</v>
      </c>
      <c r="E4" s="50">
        <v>62000</v>
      </c>
      <c r="F4" s="50">
        <v>43000</v>
      </c>
      <c r="G4" s="17">
        <f t="shared" si="0"/>
        <v>230000</v>
      </c>
      <c r="H4" s="17">
        <f t="shared" si="1"/>
        <v>31972.218407676468</v>
      </c>
      <c r="I4" s="17">
        <f t="shared" si="2"/>
        <v>198027.78159232353</v>
      </c>
    </row>
    <row r="5" spans="1:9" ht="15.75" customHeight="1" x14ac:dyDescent="0.25">
      <c r="A5" s="5">
        <f t="shared" si="3"/>
        <v>2024</v>
      </c>
      <c r="B5" s="49">
        <v>27604.583999999999</v>
      </c>
      <c r="C5" s="50">
        <v>48000</v>
      </c>
      <c r="D5" s="50">
        <v>80000</v>
      </c>
      <c r="E5" s="50">
        <v>64000</v>
      </c>
      <c r="F5" s="50">
        <v>45000</v>
      </c>
      <c r="G5" s="17">
        <f t="shared" si="0"/>
        <v>237000</v>
      </c>
      <c r="H5" s="17">
        <f t="shared" si="1"/>
        <v>32159.026196741128</v>
      </c>
      <c r="I5" s="17">
        <f t="shared" si="2"/>
        <v>204840.97380325888</v>
      </c>
    </row>
    <row r="6" spans="1:9" ht="15.75" customHeight="1" x14ac:dyDescent="0.25">
      <c r="A6" s="5">
        <f t="shared" si="3"/>
        <v>2025</v>
      </c>
      <c r="B6" s="49">
        <v>27777.525000000001</v>
      </c>
      <c r="C6" s="50">
        <v>49000</v>
      </c>
      <c r="D6" s="50">
        <v>81000</v>
      </c>
      <c r="E6" s="50">
        <v>65000</v>
      </c>
      <c r="F6" s="50">
        <v>46000</v>
      </c>
      <c r="G6" s="17">
        <f t="shared" si="0"/>
        <v>241000</v>
      </c>
      <c r="H6" s="17">
        <f t="shared" si="1"/>
        <v>32360.50049352787</v>
      </c>
      <c r="I6" s="17">
        <f t="shared" si="2"/>
        <v>208639.49950647214</v>
      </c>
    </row>
    <row r="7" spans="1:9" ht="15.75" customHeight="1" x14ac:dyDescent="0.25">
      <c r="A7" s="5">
        <f t="shared" si="3"/>
        <v>2026</v>
      </c>
      <c r="B7" s="49">
        <v>27984.5664</v>
      </c>
      <c r="C7" s="50">
        <v>50000</v>
      </c>
      <c r="D7" s="50">
        <v>83000</v>
      </c>
      <c r="E7" s="50">
        <v>66000</v>
      </c>
      <c r="F7" s="50">
        <v>48000</v>
      </c>
      <c r="G7" s="17">
        <f t="shared" si="0"/>
        <v>247000</v>
      </c>
      <c r="H7" s="17">
        <f t="shared" si="1"/>
        <v>32601.701368223534</v>
      </c>
      <c r="I7" s="17">
        <f t="shared" si="2"/>
        <v>214398.29863177647</v>
      </c>
    </row>
    <row r="8" spans="1:9" ht="15.75" customHeight="1" x14ac:dyDescent="0.25">
      <c r="A8" s="5">
        <f t="shared" si="3"/>
        <v>2027</v>
      </c>
      <c r="B8" s="49">
        <v>28178.482599999999</v>
      </c>
      <c r="C8" s="50">
        <v>51000</v>
      </c>
      <c r="D8" s="50">
        <v>85000</v>
      </c>
      <c r="E8" s="50">
        <v>68000</v>
      </c>
      <c r="F8" s="50">
        <v>50000</v>
      </c>
      <c r="G8" s="17">
        <f t="shared" si="0"/>
        <v>254000</v>
      </c>
      <c r="H8" s="17">
        <f t="shared" si="1"/>
        <v>32827.611534294956</v>
      </c>
      <c r="I8" s="17">
        <f t="shared" si="2"/>
        <v>221172.38846570504</v>
      </c>
    </row>
    <row r="9" spans="1:9" ht="15.75" customHeight="1" x14ac:dyDescent="0.25">
      <c r="A9" s="5">
        <f t="shared" si="3"/>
        <v>2028</v>
      </c>
      <c r="B9" s="49">
        <v>28387.022399999991</v>
      </c>
      <c r="C9" s="50">
        <v>52000</v>
      </c>
      <c r="D9" s="50">
        <v>87000</v>
      </c>
      <c r="E9" s="50">
        <v>68000</v>
      </c>
      <c r="F9" s="50">
        <v>51000</v>
      </c>
      <c r="G9" s="17">
        <f t="shared" si="0"/>
        <v>258000</v>
      </c>
      <c r="H9" s="17">
        <f t="shared" si="1"/>
        <v>33070.558027937564</v>
      </c>
      <c r="I9" s="17">
        <f t="shared" si="2"/>
        <v>224929.44197206243</v>
      </c>
    </row>
    <row r="10" spans="1:9" ht="15.75" customHeight="1" x14ac:dyDescent="0.25">
      <c r="A10" s="5">
        <f t="shared" si="3"/>
        <v>2029</v>
      </c>
      <c r="B10" s="49">
        <v>28554.342799999991</v>
      </c>
      <c r="C10" s="50">
        <v>53000</v>
      </c>
      <c r="D10" s="50">
        <v>89000</v>
      </c>
      <c r="E10" s="50">
        <v>70000</v>
      </c>
      <c r="F10" s="50">
        <v>53000</v>
      </c>
      <c r="G10" s="17">
        <f t="shared" si="0"/>
        <v>265000</v>
      </c>
      <c r="H10" s="17">
        <f t="shared" si="1"/>
        <v>33265.484389691439</v>
      </c>
      <c r="I10" s="17">
        <f t="shared" si="2"/>
        <v>231734.51561030856</v>
      </c>
    </row>
    <row r="11" spans="1:9" ht="15.75" customHeight="1" x14ac:dyDescent="0.25">
      <c r="A11" s="5">
        <f t="shared" si="3"/>
        <v>2030</v>
      </c>
      <c r="B11" s="49">
        <v>28735.596000000001</v>
      </c>
      <c r="C11" s="50">
        <v>54000</v>
      </c>
      <c r="D11" s="50">
        <v>90000</v>
      </c>
      <c r="E11" s="50">
        <v>72000</v>
      </c>
      <c r="F11" s="50">
        <v>55000</v>
      </c>
      <c r="G11" s="17">
        <f t="shared" si="0"/>
        <v>271000</v>
      </c>
      <c r="H11" s="17">
        <f t="shared" si="1"/>
        <v>33476.642304878405</v>
      </c>
      <c r="I11" s="17">
        <f t="shared" si="2"/>
        <v>237523.35769512161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7hCqlLJxwBicHroZI2o2y0YEMyPJLtPjYEiRrMU0QYLpm/kWbnldb9an+B5QjkUTkqvDLAQ57/N+6FKLCRLn/g==" saltValue="6wo3/IeMyW8fAGfMQA7Gl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1.708908129145488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1.708908129145488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1.6270158278949041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1.6270158278949041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1.4683857281854118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1.4683857281854118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1.4142783148591331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1.4142783148591331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1.9747486775750458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1.9747486775750458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1.8621467633554931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1.8621467633554931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rmxk/NqhBE0DRchBI/XzhSmjJtLa4cmCbIser7+YMQ2c+bEmEasZRgamTvV3VThnijcYboswplYqVDjfV9F+0g==" saltValue="pcKkYhwlcF047pOco2ITY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29MsDuGLFfG3P9lf/QTVs7vfiUodR89vuHq74mpZdusDtb8LzBD5cX3flXkJGvEIkW90VtNOCq4KqYy00i0n0Q==" saltValue="PFRrKrngVfp1Avc2id34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cxL8l9smmBfbq5ckqcYgRw7WXPcFv+86zM0XOp+aKCFeHMoXj+PMOCA7rNx85U8Q4NU/v1xvBg87WSicm9Sh5w==" saltValue="dp+fizA4QokuBQ8gfUPB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0.56874380276946146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0.56874380276946146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0.84472242429850208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0.84472242429850208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0.84472242429850208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0.84472242429850208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0.36823446536647403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0.36823446536647403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0.80782897578629032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0.80782897578629032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0.80782897578629032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0.80782897578629032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0.8950795943993004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0.8950795943993004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0.88236285421371063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0.88236285421371063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0.88236285421371063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0.88236285421371063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TNXKg1+AS+ZUmsSmV8NQ7K7z4mg3Qhv1cIEs8XkSZDAVOr5fA4IMR1tpBvFSPNyRtZ22dPS5gL99BcV/E82Urw==" saltValue="xGkrRfEgDEG9HHFOe9Tj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2XX5Dj+js3J4lx1YYKML+Mx2X4Ako+GYj8UygR7x1parGMeJ6jf940U+gmBPzn1A2bemc6VtmfWkbLL94MSJxQ==" saltValue="WWKnsQQOvB09GH3bUdgs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0.48197891567018125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0.59315615097281804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0.59315615097281804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0.62852897473997016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0.62852897473997016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0.62852897473997016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0.62852897473997016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0.64675010092854257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0.64675010092854257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0.64675010092854257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0.64675010092854257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0.59139063670102709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0.69399450681425878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0.69399450681425878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0.72466960352422904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0.72466960352422904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0.72466960352422904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0.72466960352422904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0.74012474012474005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0.74012474012474005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0.74012474012474005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0.74012474012474005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0.29812665932410848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0.39960991683594932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0.39960991683594932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0.43580434675955454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0.43580434675955454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0.43580434675955454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0.43580434675955454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0.45528609321712765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0.45528609321712765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0.45528609321712765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0.45528609321712765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0.45778093831784139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0.56951300181668285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0.56951300181668285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0.60557454641072828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0.60557454641072828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0.60557454641072828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0.60557454641072828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0.62424849699398788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0.62424849699398788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0.62424849699398788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0.62424849699398788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0.92125495782452982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0.94827313606737607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0.94827313606737607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0.95510729356837154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0.95510729356837154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0.95510729356837154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0.95510729356837154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0.95837033747779765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0.95837033747779765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0.95837033747779765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0.95837033747779765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0.80624135382053363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0.86702580650379768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0.86702580650379768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0.8832730243959378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0.8832730243959378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0.8832730243959378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0.8832730243959378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0.89116238572050488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0.89116238572050488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0.89116238572050488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0.89116238572050488</v>
      </c>
    </row>
  </sheetData>
  <sheetProtection algorithmName="SHA-512" hashValue="wkDRPC9lTtIt7F4vgEOrHDl/XaAfugaY+0aZPc4W3OR3O+P7+o3keeYmouCMYxmGSjW3kkUWIB4VLxxbdiFVxg==" saltValue="MYv2dzutr8xvOOvRiTh/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0.84705821529798031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0.85261079057789657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0.85530416035142509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0.85561445078805154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0.84920710846577774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0.84282670627004208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0.84883159936546859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0.8538850785591664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0.76235239376818231</v>
      </c>
      <c r="E10" s="90">
        <f>E3*0.9</f>
        <v>0.76734971152010689</v>
      </c>
      <c r="F10" s="90">
        <f>F3*0.9</f>
        <v>0.76977374431628265</v>
      </c>
      <c r="G10" s="90">
        <f>G3*0.9</f>
        <v>0.7700530057092464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0.76428639761920003</v>
      </c>
      <c r="E12" s="90">
        <f>E5*0.9</f>
        <v>0.75854403564303785</v>
      </c>
      <c r="F12" s="90">
        <f>F5*0.9</f>
        <v>0.76394843942892177</v>
      </c>
      <c r="G12" s="90">
        <f>G5*0.9</f>
        <v>0.76849657070324973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0.88941112606287931</v>
      </c>
      <c r="E17" s="90">
        <f>E3*1.05</f>
        <v>0.89524133010679141</v>
      </c>
      <c r="F17" s="90">
        <f>F3*1.05</f>
        <v>0.89806936836899642</v>
      </c>
      <c r="G17" s="90">
        <f>G3*1.05</f>
        <v>0.89839517332745411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0.8916674638890667</v>
      </c>
      <c r="E19" s="90">
        <f>E5*1.05</f>
        <v>0.88496804158354425</v>
      </c>
      <c r="F19" s="90">
        <f>F5*1.05</f>
        <v>0.89127317933374206</v>
      </c>
      <c r="G19" s="90">
        <f>G5*1.05</f>
        <v>0.89657933248712474</v>
      </c>
    </row>
  </sheetData>
  <sheetProtection algorithmName="SHA-512" hashValue="5LgkhA+hEQ+dAYx2+GWpG7SJhA9BEpanRrqC917sufXAfX+L4DCNzoqZndjBhP4d50fn1D8HZbJi3u6PLBmXUQ==" saltValue="7/7EHUa/ahWycvIdznafS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X5EzVdnPBobU9+3nJcQ7quK+j361iW3j7fi4uGH26seKl2xkaXSA4AhJv+saurA8gbCzWf7lqAS/ySpfXqtWJg==" saltValue="W28A3urkB9eFAhbtK6LG0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mObabPNvA1zik0//zlx+NSVXWtjoQILVkPAV3cb10wsqnZTQCXqxK2BXHErcsqEJfDaASXRTFvPr9iaypwZl5A==" saltValue="KtQAenpl/FgGqnQmQCkGx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7.9147290000946731E-3</v>
      </c>
    </row>
    <row r="4" spans="1:8" ht="15.75" customHeight="1" x14ac:dyDescent="0.25">
      <c r="B4" s="19" t="s">
        <v>79</v>
      </c>
      <c r="C4" s="101">
        <v>0.1533843925775738</v>
      </c>
    </row>
    <row r="5" spans="1:8" ht="15.75" customHeight="1" x14ac:dyDescent="0.25">
      <c r="B5" s="19" t="s">
        <v>80</v>
      </c>
      <c r="C5" s="101">
        <v>6.4479105355615352E-2</v>
      </c>
    </row>
    <row r="6" spans="1:8" ht="15.75" customHeight="1" x14ac:dyDescent="0.25">
      <c r="B6" s="19" t="s">
        <v>81</v>
      </c>
      <c r="C6" s="101">
        <v>0.23649566276780309</v>
      </c>
    </row>
    <row r="7" spans="1:8" ht="15.75" customHeight="1" x14ac:dyDescent="0.25">
      <c r="B7" s="19" t="s">
        <v>82</v>
      </c>
      <c r="C7" s="101">
        <v>0.38025492529633198</v>
      </c>
    </row>
    <row r="8" spans="1:8" ht="15.75" customHeight="1" x14ac:dyDescent="0.25">
      <c r="B8" s="19" t="s">
        <v>83</v>
      </c>
      <c r="C8" s="101">
        <v>1.042646798727674E-2</v>
      </c>
    </row>
    <row r="9" spans="1:8" ht="15.75" customHeight="1" x14ac:dyDescent="0.25">
      <c r="B9" s="19" t="s">
        <v>84</v>
      </c>
      <c r="C9" s="101">
        <v>7.7012960164927244E-2</v>
      </c>
    </row>
    <row r="10" spans="1:8" ht="15.75" customHeight="1" x14ac:dyDescent="0.25">
      <c r="B10" s="19" t="s">
        <v>85</v>
      </c>
      <c r="C10" s="101">
        <v>7.0031756850376978E-2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0.1619377227277527</v>
      </c>
      <c r="D14" s="55">
        <v>0.1619377227277527</v>
      </c>
      <c r="E14" s="55">
        <v>0.1619377227277527</v>
      </c>
      <c r="F14" s="55">
        <v>0.1619377227277527</v>
      </c>
    </row>
    <row r="15" spans="1:8" ht="15.75" customHeight="1" x14ac:dyDescent="0.25">
      <c r="B15" s="19" t="s">
        <v>88</v>
      </c>
      <c r="C15" s="101">
        <v>0.2797936997013078</v>
      </c>
      <c r="D15" s="101">
        <v>0.2797936997013078</v>
      </c>
      <c r="E15" s="101">
        <v>0.2797936997013078</v>
      </c>
      <c r="F15" s="101">
        <v>0.2797936997013078</v>
      </c>
    </row>
    <row r="16" spans="1:8" ht="15.75" customHeight="1" x14ac:dyDescent="0.25">
      <c r="B16" s="19" t="s">
        <v>89</v>
      </c>
      <c r="C16" s="101">
        <v>4.5671651623721103E-2</v>
      </c>
      <c r="D16" s="101">
        <v>4.5671651623721103E-2</v>
      </c>
      <c r="E16" s="101">
        <v>4.5671651623721103E-2</v>
      </c>
      <c r="F16" s="101">
        <v>4.5671651623721103E-2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3.0423414117577971E-2</v>
      </c>
      <c r="D19" s="101">
        <v>3.0423414117577971E-2</v>
      </c>
      <c r="E19" s="101">
        <v>3.0423414117577971E-2</v>
      </c>
      <c r="F19" s="101">
        <v>3.0423414117577971E-2</v>
      </c>
    </row>
    <row r="20" spans="1:8" ht="15.75" customHeight="1" x14ac:dyDescent="0.25">
      <c r="B20" s="19" t="s">
        <v>93</v>
      </c>
      <c r="C20" s="101">
        <v>5.753741138608368E-4</v>
      </c>
      <c r="D20" s="101">
        <v>5.753741138608368E-4</v>
      </c>
      <c r="E20" s="101">
        <v>5.753741138608368E-4</v>
      </c>
      <c r="F20" s="101">
        <v>5.753741138608368E-4</v>
      </c>
    </row>
    <row r="21" spans="1:8" ht="15.75" customHeight="1" x14ac:dyDescent="0.25">
      <c r="B21" s="19" t="s">
        <v>94</v>
      </c>
      <c r="C21" s="101">
        <v>0.1107279101395869</v>
      </c>
      <c r="D21" s="101">
        <v>0.1107279101395869</v>
      </c>
      <c r="E21" s="101">
        <v>0.1107279101395869</v>
      </c>
      <c r="F21" s="101">
        <v>0.1107279101395869</v>
      </c>
    </row>
    <row r="22" spans="1:8" ht="15.75" customHeight="1" x14ac:dyDescent="0.25">
      <c r="B22" s="19" t="s">
        <v>95</v>
      </c>
      <c r="C22" s="101">
        <v>0.37087022757619281</v>
      </c>
      <c r="D22" s="101">
        <v>0.37087022757619281</v>
      </c>
      <c r="E22" s="101">
        <v>0.37087022757619281</v>
      </c>
      <c r="F22" s="101">
        <v>0.37087022757619281</v>
      </c>
    </row>
    <row r="23" spans="1:8" ht="15.75" customHeight="1" x14ac:dyDescent="0.25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8.8581871999999992E-2</v>
      </c>
    </row>
    <row r="27" spans="1:8" ht="15.75" customHeight="1" x14ac:dyDescent="0.25">
      <c r="B27" s="19" t="s">
        <v>102</v>
      </c>
      <c r="C27" s="101">
        <v>8.8641740000000007E-3</v>
      </c>
    </row>
    <row r="28" spans="1:8" ht="15.75" customHeight="1" x14ac:dyDescent="0.25">
      <c r="B28" s="19" t="s">
        <v>103</v>
      </c>
      <c r="C28" s="101">
        <v>0.15728592299999999</v>
      </c>
    </row>
    <row r="29" spans="1:8" ht="15.75" customHeight="1" x14ac:dyDescent="0.25">
      <c r="B29" s="19" t="s">
        <v>104</v>
      </c>
      <c r="C29" s="101">
        <v>0.170055973</v>
      </c>
    </row>
    <row r="30" spans="1:8" ht="15.75" customHeight="1" x14ac:dyDescent="0.25">
      <c r="B30" s="19" t="s">
        <v>2</v>
      </c>
      <c r="C30" s="101">
        <v>0.105793744</v>
      </c>
    </row>
    <row r="31" spans="1:8" ht="15.75" customHeight="1" x14ac:dyDescent="0.25">
      <c r="B31" s="19" t="s">
        <v>105</v>
      </c>
      <c r="C31" s="101">
        <v>0.111206134</v>
      </c>
    </row>
    <row r="32" spans="1:8" ht="15.75" customHeight="1" x14ac:dyDescent="0.25">
      <c r="B32" s="19" t="s">
        <v>106</v>
      </c>
      <c r="C32" s="101">
        <v>1.8849359E-2</v>
      </c>
    </row>
    <row r="33" spans="2:3" ht="15.75" customHeight="1" x14ac:dyDescent="0.25">
      <c r="B33" s="19" t="s">
        <v>107</v>
      </c>
      <c r="C33" s="101">
        <v>8.5214494999999987E-2</v>
      </c>
    </row>
    <row r="34" spans="2:3" ht="15.75" customHeight="1" x14ac:dyDescent="0.25">
      <c r="B34" s="19" t="s">
        <v>108</v>
      </c>
      <c r="C34" s="101">
        <v>0.25414832700000001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xtcy/bUfxcq9TbTkz+X36DSRp9iyyxzFsRpTGai7LjyaZmPZl34PTJis2NHZbUgsO4WMna91mCOtZIcWhpZJ6g==" saltValue="1G9TwOwroQCW4+z4J5Llq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0.43950716248183852</v>
      </c>
      <c r="D2" s="52">
        <f>IFERROR(1-_xlfn.NORM.DIST(_xlfn.NORM.INV(SUM(D4:D5), 0, 1) + 1, 0, 1, TRUE), "")</f>
        <v>0.43950716248183852</v>
      </c>
      <c r="E2" s="52">
        <f>IFERROR(1-_xlfn.NORM.DIST(_xlfn.NORM.INV(SUM(E4:E5), 0, 1) + 1, 0, 1, TRUE), "")</f>
        <v>0.36279216678628967</v>
      </c>
      <c r="F2" s="52">
        <f>IFERROR(1-_xlfn.NORM.DIST(_xlfn.NORM.INV(SUM(F4:F5), 0, 1) + 1, 0, 1, TRUE), "")</f>
        <v>0.24646901700027191</v>
      </c>
      <c r="G2" s="52">
        <f>IFERROR(1-_xlfn.NORM.DIST(_xlfn.NORM.INV(SUM(G4:G5), 0, 1) + 1, 0, 1, TRUE), "")</f>
        <v>0.30134322470984909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0.36221290537685719</v>
      </c>
      <c r="D3" s="52">
        <f>IFERROR(_xlfn.NORM.DIST(_xlfn.NORM.INV(SUM(D4:D5), 0, 1) + 1, 0, 1, TRUE) - SUM(D4:D5), "")</f>
        <v>0.36221290537685719</v>
      </c>
      <c r="E3" s="52">
        <f>IFERROR(_xlfn.NORM.DIST(_xlfn.NORM.INV(SUM(E4:E5), 0, 1) + 1, 0, 1, TRUE) - SUM(E4:E5), "")</f>
        <v>0.37903691558351532</v>
      </c>
      <c r="F3" s="52">
        <f>IFERROR(_xlfn.NORM.DIST(_xlfn.NORM.INV(SUM(F4:F5), 0, 1) + 1, 0, 1, TRUE) - SUM(F4:F5), "")</f>
        <v>0.37690589216224912</v>
      </c>
      <c r="G3" s="52">
        <f>IFERROR(_xlfn.NORM.DIST(_xlfn.NORM.INV(SUM(G4:G5), 0, 1) + 1, 0, 1, TRUE) - SUM(G4:G5), "")</f>
        <v>0.38285065465607193</v>
      </c>
    </row>
    <row r="4" spans="1:15" ht="15.75" customHeight="1" x14ac:dyDescent="0.25">
      <c r="B4" s="5" t="s">
        <v>114</v>
      </c>
      <c r="C4" s="45">
        <v>0.12910370528698001</v>
      </c>
      <c r="D4" s="53">
        <v>0.12910370528698001</v>
      </c>
      <c r="E4" s="53">
        <v>0.13079951703548401</v>
      </c>
      <c r="F4" s="53">
        <v>0.16891008615493799</v>
      </c>
      <c r="G4" s="53">
        <v>0.150349751114845</v>
      </c>
    </row>
    <row r="5" spans="1:15" ht="15.75" customHeight="1" x14ac:dyDescent="0.25">
      <c r="B5" s="5" t="s">
        <v>115</v>
      </c>
      <c r="C5" s="45">
        <v>6.9176226854324299E-2</v>
      </c>
      <c r="D5" s="53">
        <v>6.9176226854324299E-2</v>
      </c>
      <c r="E5" s="53">
        <v>0.127371400594711</v>
      </c>
      <c r="F5" s="53">
        <v>0.207715004682541</v>
      </c>
      <c r="G5" s="53">
        <v>0.16545636951923401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0.46382902004533699</v>
      </c>
      <c r="D8" s="52">
        <f>IFERROR(1-_xlfn.NORM.DIST(_xlfn.NORM.INV(SUM(D10:D11), 0, 1) + 1, 0, 1, TRUE), "")</f>
        <v>0.46382902004533699</v>
      </c>
      <c r="E8" s="52">
        <f>IFERROR(1-_xlfn.NORM.DIST(_xlfn.NORM.INV(SUM(E10:E11), 0, 1) + 1, 0, 1, TRUE), "")</f>
        <v>0.45825871662755446</v>
      </c>
      <c r="F8" s="52">
        <f>IFERROR(1-_xlfn.NORM.DIST(_xlfn.NORM.INV(SUM(F10:F11), 0, 1) + 1, 0, 1, TRUE), "")</f>
        <v>0.56236280455792986</v>
      </c>
      <c r="G8" s="52">
        <f>IFERROR(1-_xlfn.NORM.DIST(_xlfn.NORM.INV(SUM(G10:G11), 0, 1) + 1, 0, 1, TRUE), "")</f>
        <v>0.64757425318477224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0.35455086640304634</v>
      </c>
      <c r="D9" s="52">
        <f>IFERROR(_xlfn.NORM.DIST(_xlfn.NORM.INV(SUM(D10:D11), 0, 1) + 1, 0, 1, TRUE) - SUM(D10:D11), "")</f>
        <v>0.35455086640304634</v>
      </c>
      <c r="E9" s="52">
        <f>IFERROR(_xlfn.NORM.DIST(_xlfn.NORM.INV(SUM(E10:E11), 0, 1) + 1, 0, 1, TRUE) - SUM(E10:E11), "")</f>
        <v>0.35639543993811151</v>
      </c>
      <c r="F9" s="52">
        <f>IFERROR(_xlfn.NORM.DIST(_xlfn.NORM.INV(SUM(F10:F11), 0, 1) + 1, 0, 1, TRUE) - SUM(F10:F11), "")</f>
        <v>0.3139933575729027</v>
      </c>
      <c r="G9" s="52">
        <f>IFERROR(_xlfn.NORM.DIST(_xlfn.NORM.INV(SUM(G10:G11), 0, 1) + 1, 0, 1, TRUE) - SUM(G10:G11), "")</f>
        <v>0.26844439675095016</v>
      </c>
    </row>
    <row r="10" spans="1:15" ht="15.75" customHeight="1" x14ac:dyDescent="0.25">
      <c r="B10" s="5" t="s">
        <v>119</v>
      </c>
      <c r="C10" s="45">
        <v>8.3225898444652599E-2</v>
      </c>
      <c r="D10" s="53">
        <v>8.3225898444652599E-2</v>
      </c>
      <c r="E10" s="53">
        <v>0.12705050408840199</v>
      </c>
      <c r="F10" s="53">
        <v>8.5907585918903406E-2</v>
      </c>
      <c r="G10" s="53">
        <v>4.8662886023521403E-2</v>
      </c>
    </row>
    <row r="11" spans="1:15" ht="15.75" customHeight="1" x14ac:dyDescent="0.25">
      <c r="B11" s="5" t="s">
        <v>120</v>
      </c>
      <c r="C11" s="45">
        <v>9.8394215106964097E-2</v>
      </c>
      <c r="D11" s="53">
        <v>9.8394215106964097E-2</v>
      </c>
      <c r="E11" s="53">
        <v>5.8295339345932E-2</v>
      </c>
      <c r="F11" s="53">
        <v>3.7736251950263998E-2</v>
      </c>
      <c r="G11" s="53">
        <v>3.5318464040756198E-2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0.63803419224999991</v>
      </c>
      <c r="D14" s="54">
        <v>0.63816869495700002</v>
      </c>
      <c r="E14" s="54">
        <v>0.63816869495700002</v>
      </c>
      <c r="F14" s="54">
        <v>0.43302120201400002</v>
      </c>
      <c r="G14" s="54">
        <v>0.43302120201400002</v>
      </c>
      <c r="H14" s="45">
        <v>0.34200000000000003</v>
      </c>
      <c r="I14" s="55">
        <v>0.34200000000000003</v>
      </c>
      <c r="J14" s="55">
        <v>0.34200000000000003</v>
      </c>
      <c r="K14" s="55">
        <v>0.34200000000000003</v>
      </c>
      <c r="L14" s="45">
        <v>0.28799999999999998</v>
      </c>
      <c r="M14" s="55">
        <v>0.28799999999999998</v>
      </c>
      <c r="N14" s="55">
        <v>0.28799999999999998</v>
      </c>
      <c r="O14" s="55">
        <v>0.28799999999999998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0.32531513163669967</v>
      </c>
      <c r="D15" s="52">
        <f t="shared" si="0"/>
        <v>0.32538371066642052</v>
      </c>
      <c r="E15" s="52">
        <f t="shared" si="0"/>
        <v>0.32538371066642052</v>
      </c>
      <c r="F15" s="52">
        <f t="shared" si="0"/>
        <v>0.2207849532920802</v>
      </c>
      <c r="G15" s="52">
        <f t="shared" si="0"/>
        <v>0.2207849532920802</v>
      </c>
      <c r="H15" s="52">
        <f t="shared" si="0"/>
        <v>0.17437588200000001</v>
      </c>
      <c r="I15" s="52">
        <f t="shared" si="0"/>
        <v>0.17437588200000001</v>
      </c>
      <c r="J15" s="52">
        <f t="shared" si="0"/>
        <v>0.17437588200000001</v>
      </c>
      <c r="K15" s="52">
        <f t="shared" si="0"/>
        <v>0.17437588200000001</v>
      </c>
      <c r="L15" s="52">
        <f t="shared" si="0"/>
        <v>0.14684284799999997</v>
      </c>
      <c r="M15" s="52">
        <f t="shared" si="0"/>
        <v>0.14684284799999997</v>
      </c>
      <c r="N15" s="52">
        <f t="shared" si="0"/>
        <v>0.14684284799999997</v>
      </c>
      <c r="O15" s="52">
        <f t="shared" si="0"/>
        <v>0.14684284799999997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VTB2CN4IX8J6jljDKaFVhVfovTZy1+zDArQCMTAzWr0BtxGM3QpD0NHpLETOfUIRJbV9oK8JobAMDPOifF+s0A==" saltValue="PXMll//xIDP0eOaadRi8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0.21005278825759899</v>
      </c>
      <c r="D2" s="53">
        <v>0.10688060000000001</v>
      </c>
      <c r="E2" s="53"/>
      <c r="F2" s="53"/>
      <c r="G2" s="53"/>
    </row>
    <row r="3" spans="1:7" x14ac:dyDescent="0.25">
      <c r="B3" s="3" t="s">
        <v>130</v>
      </c>
      <c r="C3" s="53">
        <v>0.491416126489639</v>
      </c>
      <c r="D3" s="53">
        <v>0.3412442</v>
      </c>
      <c r="E3" s="53"/>
      <c r="F3" s="53"/>
      <c r="G3" s="53"/>
    </row>
    <row r="4" spans="1:7" x14ac:dyDescent="0.25">
      <c r="B4" s="3" t="s">
        <v>131</v>
      </c>
      <c r="C4" s="53">
        <v>0.23050220310687999</v>
      </c>
      <c r="D4" s="53">
        <v>0.4981411</v>
      </c>
      <c r="E4" s="53">
        <v>0.87793457508087203</v>
      </c>
      <c r="F4" s="53">
        <v>0.65165728330612194</v>
      </c>
      <c r="G4" s="53"/>
    </row>
    <row r="5" spans="1:7" x14ac:dyDescent="0.25">
      <c r="B5" s="3" t="s">
        <v>132</v>
      </c>
      <c r="C5" s="52">
        <v>6.8028889596462194E-2</v>
      </c>
      <c r="D5" s="52">
        <v>5.3734026849269902E-2</v>
      </c>
      <c r="E5" s="52">
        <f>1-SUM(E2:E4)</f>
        <v>0.12206542491912797</v>
      </c>
      <c r="F5" s="52">
        <f>1-SUM(F2:F4)</f>
        <v>0.34834271669387806</v>
      </c>
      <c r="G5" s="52">
        <f>1-SUM(G2:G4)</f>
        <v>1</v>
      </c>
    </row>
  </sheetData>
  <sheetProtection algorithmName="SHA-512" hashValue="GY8I4EoRWAJObQFqoCLQ/0F68ZxP0ORqnF2TqR/JffKGljXrt/rIoPq8u/5GqOvmEFxHHGLJdzG5TLyYf9ObpQ==" saltValue="/LiIcL/lLmBPaS9XahDkc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V+mOa6YfKs5zWojixUQwF+jOC4OHHlT4F5Rr33wapfKUIsJ/yHKBQ2R47Dk+w62tb7ysA1yyzYCIKq2nMORPZQ==" saltValue="uY3BRFMiSyRD2XItjBAM/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C4nINEH/dTqe6nHtNeA3TSG3X+a2XcGMEgkrOUwNNIH8cyZ+t3qLz2cpRiIBmqQ0Qf9/ERWHZa4nXbBTGB+0Uw==" saltValue="T0FqKYE77UzUsFAkRKzst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uydrR2e2O2Wt9Kb8uZITQbQ1hC9sIw9R7xiYxjiGiJhKIrhV3/pnFi5HwZdZtaeFKFaf6V0w7yMegByBk45Y5A==" saltValue="Po3645xsXR3oCgVrHUSyj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I0/NW/sySr5uc/zxmXVJIN6o6YqoIda63Y3/Tr/W6wCgDYCJaJnRHcEp1/hTaAJ8+hPRV0E9zgJSjTunqfAWcw==" saltValue="jZ9sEOCN72tMT3AOc2wUw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2024-03-15T02:52:00Z</dcterms:modified>
</cp:coreProperties>
</file>