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06517726-AB49-490F-9B8C-B1A1B2E85484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G17" i="26"/>
  <c r="C17" i="26"/>
  <c r="D12" i="26"/>
  <c r="C12" i="26"/>
  <c r="E10" i="26"/>
  <c r="C10" i="26"/>
  <c r="G5" i="26"/>
  <c r="G19" i="26" s="1"/>
  <c r="F5" i="26"/>
  <c r="F19" i="26" s="1"/>
  <c r="E5" i="26"/>
  <c r="E12" i="26" s="1"/>
  <c r="D5" i="26"/>
  <c r="G3" i="26"/>
  <c r="G10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A39" i="2"/>
  <c r="H38" i="2"/>
  <c r="G38" i="2"/>
  <c r="A31" i="2"/>
  <c r="A29" i="2"/>
  <c r="A26" i="2"/>
  <c r="A24" i="2"/>
  <c r="A15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6" i="2" s="1"/>
  <c r="C33" i="1"/>
  <c r="C20" i="1"/>
  <c r="A16" i="2" l="1"/>
  <c r="A32" i="2"/>
  <c r="I6" i="2"/>
  <c r="A21" i="2"/>
  <c r="A37" i="2"/>
  <c r="F12" i="26"/>
  <c r="A18" i="2"/>
  <c r="A34" i="2"/>
  <c r="A3" i="2"/>
  <c r="A23" i="2"/>
  <c r="I38" i="2"/>
  <c r="A14" i="2"/>
  <c r="A22" i="2"/>
  <c r="A30" i="2"/>
  <c r="A38" i="2"/>
  <c r="A40" i="2"/>
  <c r="D10" i="26"/>
  <c r="G12" i="26"/>
  <c r="E19" i="26"/>
  <c r="F10" i="26"/>
  <c r="A17" i="2"/>
  <c r="A25" i="2"/>
  <c r="A33" i="2"/>
  <c r="A19" i="2"/>
  <c r="A27" i="2"/>
  <c r="A35" i="2"/>
  <c r="A4" i="2"/>
  <c r="A5" i="2" s="1"/>
  <c r="A6" i="2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<sst xmlns="http://schemas.openxmlformats.org/spreadsheetml/2006/main" count="2092" uniqueCount="337">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</sst>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49751.9921875</v>
      </c>
    </row>
    <row r="8" spans="1:3" ht="15" customHeight="1" x14ac:dyDescent="0.25">
      <c r="B8" s="5" t="s">
        <v>19</v>
      </c>
      <c r="C8" s="44">
        <v>3.2000000000000001E-2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0.67868072509765598</v>
      </c>
    </row>
    <row r="11" spans="1:3" ht="15" customHeight="1" x14ac:dyDescent="0.25">
      <c r="B11" s="5" t="s">
        <v>22</v>
      </c>
      <c r="C11" s="45">
        <v>0.62</v>
      </c>
    </row>
    <row r="12" spans="1:3" ht="15" customHeight="1" x14ac:dyDescent="0.25">
      <c r="B12" s="5" t="s">
        <v>23</v>
      </c>
      <c r="C12" s="45">
        <v>0.51400000000000001</v>
      </c>
    </row>
    <row r="13" spans="1:3" ht="15" customHeight="1" x14ac:dyDescent="0.25">
      <c r="B13" s="5" t="s">
        <v>24</v>
      </c>
      <c r="C13" s="45">
        <v>0.52200000000000002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0.16</v>
      </c>
    </row>
    <row r="24" spans="1:3" ht="15" customHeight="1" x14ac:dyDescent="0.25">
      <c r="B24" s="15" t="s">
        <v>33</v>
      </c>
      <c r="C24" s="45">
        <v>0.51100000000000001</v>
      </c>
    </row>
    <row r="25" spans="1:3" ht="15" customHeight="1" x14ac:dyDescent="0.25">
      <c r="B25" s="15" t="s">
        <v>34</v>
      </c>
      <c r="C25" s="45">
        <v>0.26350000000000001</v>
      </c>
    </row>
    <row r="26" spans="1:3" ht="15" customHeight="1" x14ac:dyDescent="0.25">
      <c r="B26" s="15" t="s">
        <v>35</v>
      </c>
      <c r="C26" s="45">
        <v>6.5500000000000003E-2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0.35675533525383901</v>
      </c>
    </row>
    <row r="30" spans="1:3" ht="14.25" customHeight="1" x14ac:dyDescent="0.25">
      <c r="B30" s="25" t="s">
        <v>38</v>
      </c>
      <c r="C30" s="99">
        <v>6.5910586704521698E-2</v>
      </c>
    </row>
    <row r="31" spans="1:3" ht="14.25" customHeight="1" x14ac:dyDescent="0.25">
      <c r="B31" s="25" t="s">
        <v>39</v>
      </c>
      <c r="C31" s="99">
        <v>9.262041217609189E-2</v>
      </c>
    </row>
    <row r="32" spans="1:3" ht="14.25" customHeight="1" x14ac:dyDescent="0.25">
      <c r="B32" s="25" t="s">
        <v>40</v>
      </c>
      <c r="C32" s="99">
        <v>0.48471366586554798</v>
      </c>
    </row>
    <row r="33" spans="1:5" ht="13" customHeight="1" x14ac:dyDescent="0.25">
      <c r="B33" s="27" t="s">
        <v>41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8.9823506031500795</v>
      </c>
    </row>
    <row r="38" spans="1:5" ht="15" customHeight="1" x14ac:dyDescent="0.25">
      <c r="B38" s="11" t="s">
        <v>45</v>
      </c>
      <c r="C38" s="43">
        <v>12.789775384217601</v>
      </c>
      <c r="D38" s="12"/>
      <c r="E38" s="13"/>
    </row>
    <row r="39" spans="1:5" ht="15" customHeight="1" x14ac:dyDescent="0.25">
      <c r="B39" s="11" t="s">
        <v>46</v>
      </c>
      <c r="C39" s="43">
        <v>14.8615274555791</v>
      </c>
      <c r="D39" s="12"/>
      <c r="E39" s="12"/>
    </row>
    <row r="40" spans="1:5" ht="15" customHeight="1" x14ac:dyDescent="0.25">
      <c r="B40" s="11" t="s">
        <v>47</v>
      </c>
      <c r="C40" s="100">
        <v>0.57999999999999996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10.93543405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2.8635000000000002E-3</v>
      </c>
      <c r="D45" s="12"/>
    </row>
    <row r="46" spans="1:5" ht="15.75" customHeight="1" x14ac:dyDescent="0.25">
      <c r="B46" s="11" t="s">
        <v>52</v>
      </c>
      <c r="C46" s="45">
        <v>8.5631199999999991E-2</v>
      </c>
      <c r="D46" s="12"/>
    </row>
    <row r="47" spans="1:5" ht="15.75" customHeight="1" x14ac:dyDescent="0.25">
      <c r="B47" s="11" t="s">
        <v>53</v>
      </c>
      <c r="C47" s="45">
        <v>0.14244229999999999</v>
      </c>
      <c r="D47" s="12"/>
      <c r="E47" s="13"/>
    </row>
    <row r="48" spans="1:5" ht="15" customHeight="1" x14ac:dyDescent="0.25">
      <c r="B48" s="11" t="s">
        <v>54</v>
      </c>
      <c r="C48" s="46">
        <v>0.76906300000000005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3.3</v>
      </c>
      <c r="D51" s="12"/>
    </row>
    <row r="52" spans="1:4" ht="15" customHeight="1" x14ac:dyDescent="0.25">
      <c r="B52" s="11" t="s">
        <v>57</v>
      </c>
      <c r="C52" s="100">
        <v>3.3</v>
      </c>
    </row>
    <row r="53" spans="1:4" ht="15.75" customHeight="1" x14ac:dyDescent="0.25">
      <c r="B53" s="11" t="s">
        <v>58</v>
      </c>
      <c r="C53" s="100">
        <v>3.3</v>
      </c>
    </row>
    <row r="54" spans="1:4" ht="15.75" customHeight="1" x14ac:dyDescent="0.25">
      <c r="B54" s="11" t="s">
        <v>59</v>
      </c>
      <c r="C54" s="100">
        <v>3.3</v>
      </c>
    </row>
    <row r="55" spans="1:4" ht="15.75" customHeight="1" x14ac:dyDescent="0.25">
      <c r="B55" s="11" t="s">
        <v>60</v>
      </c>
      <c r="C55" s="100">
        <v>3.3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2.181818181818182E-2</v>
      </c>
    </row>
    <row r="59" spans="1:4" ht="15.75" customHeight="1" x14ac:dyDescent="0.25">
      <c r="B59" s="11" t="s">
        <v>63</v>
      </c>
      <c r="C59" s="45">
        <v>0.478043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AtxpmS7Y+quXLpp+o5ldSD2wo9xCsvVzkcz6BiYt82MBXmqTJtKzzibiY6ui70cB9JhZPOqyZuOmcLOuGIwMew==" saltValue="QHsttpPsSzEcPUDoz7nqn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</v>
      </c>
      <c r="C2" s="98">
        <v>0.95</v>
      </c>
      <c r="D2" s="56">
        <v>50.717962815851763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39.716252809925493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299.77526795353111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0.9696135924787419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12.84855225372141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12.84855225372141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12.84855225372141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12.84855225372141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12.84855225372141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12.84855225372141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</v>
      </c>
      <c r="C16" s="98">
        <v>0.95</v>
      </c>
      <c r="D16" s="56">
        <v>0.55531805361675357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0.92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6.9453945454574351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6.9453945454574351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</v>
      </c>
      <c r="C21" s="98">
        <v>0.95</v>
      </c>
      <c r="D21" s="56">
        <v>9.4911885685343371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22.086705401333919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0</v>
      </c>
      <c r="C23" s="98">
        <v>0.95</v>
      </c>
      <c r="D23" s="56">
        <v>4.1770706684296162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</v>
      </c>
      <c r="C27" s="98">
        <v>0.95</v>
      </c>
      <c r="D27" s="56">
        <v>18.30380770317878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0.998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96.960746737260479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2.3752360395467411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6.3108289999999997E-2</v>
      </c>
      <c r="C32" s="98">
        <v>0.95</v>
      </c>
      <c r="D32" s="56">
        <v>1.1755235646488491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0.73853786759911899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2.5879090305551942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LEY31ni3R8vq0TX9DDOLVbI+Cw286oZ4T3aySEr1HtJYNoDQmIN1cp4E5mvj4PEmmpPChn0Cw/htcza4SL8RiQ==" saltValue="10LqJK0wNxc+nXsqdO00F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haDgjDDxEEvd4PFMMcg3OWVndF4TcTcWCMJewMpn9iEzkbEygf8AGKh2rNTe+MB06jxhvZAFTzeqJxBjvAo7HQ==" saltValue="oY17TP44bCdykERIP8rmQ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974HF9Woh6aVA4DIkhn35LnNHQN2A6gGbeVgoEDbRC2Y5cMOmdT4bYzfOaXod9K4jRBBGg/smm75YNPdJV0S2g==" saltValue="6QEz6cUBtZOHeqoyFQLnO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5">
      <c r="A3" s="3" t="s">
        <v>209</v>
      </c>
      <c r="B3" s="21">
        <f>frac_mam_1month * 2.6</f>
        <v>0.19372297874347755</v>
      </c>
      <c r="C3" s="21">
        <f>frac_mam_1_5months * 2.6</f>
        <v>0.19372297874347755</v>
      </c>
      <c r="D3" s="21">
        <f>frac_mam_6_11months * 2.6</f>
        <v>0.27618170427677441</v>
      </c>
      <c r="E3" s="21">
        <f>frac_mam_12_23months * 2.6</f>
        <v>0.22045132160407122</v>
      </c>
      <c r="F3" s="21">
        <f>frac_mam_24_59months * 2.6</f>
        <v>0.12275080651566304</v>
      </c>
    </row>
    <row r="4" spans="1:6" ht="15.75" customHeight="1" x14ac:dyDescent="0.25">
      <c r="A4" s="3" t="s">
        <v>208</v>
      </c>
      <c r="B4" s="21">
        <f>frac_sam_1month * 2.6</f>
        <v>0.12945086201981754</v>
      </c>
      <c r="C4" s="21">
        <f>frac_sam_1_5months * 2.6</f>
        <v>0.12945086201981754</v>
      </c>
      <c r="D4" s="21">
        <f>frac_sam_6_11months * 2.6</f>
        <v>0.14373957704470494</v>
      </c>
      <c r="E4" s="21">
        <f>frac_sam_12_23months * 2.6</f>
        <v>0.11181692882896849</v>
      </c>
      <c r="F4" s="21">
        <f>frac_sam_24_59months * 2.6</f>
        <v>5.4633652019969628E-2</v>
      </c>
    </row>
  </sheetData>
  <sheetProtection algorithmName="SHA-512" hashValue="HsDv4n+M8MfRSbZpHDiG22Rw/ybojxcbFzyRsebgZtidEFwN9+vCiQ3YzbIdtSg61AYyKzWgt5F+EqhoGAqsSg==" saltValue="lngTuhybHVnauFy1qtwGE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3.2000000000000001E-2</v>
      </c>
      <c r="E2" s="60">
        <f>food_insecure</f>
        <v>3.2000000000000001E-2</v>
      </c>
      <c r="F2" s="60">
        <f>food_insecure</f>
        <v>3.2000000000000001E-2</v>
      </c>
      <c r="G2" s="60">
        <f>food_insecure</f>
        <v>3.2000000000000001E-2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3.2000000000000001E-2</v>
      </c>
      <c r="F5" s="60">
        <f>food_insecure</f>
        <v>3.2000000000000001E-2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3.2000000000000001E-2</v>
      </c>
      <c r="F8" s="60">
        <f>food_insecure</f>
        <v>3.2000000000000001E-2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3.2000000000000001E-2</v>
      </c>
      <c r="F9" s="60">
        <f>food_insecure</f>
        <v>3.2000000000000001E-2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0.51400000000000001</v>
      </c>
      <c r="E10" s="60">
        <f>IF(ISBLANK(comm_deliv), frac_children_health_facility,1)</f>
        <v>0.51400000000000001</v>
      </c>
      <c r="F10" s="60">
        <f>IF(ISBLANK(comm_deliv), frac_children_health_facility,1)</f>
        <v>0.51400000000000001</v>
      </c>
      <c r="G10" s="60">
        <f>IF(ISBLANK(comm_deliv), frac_children_health_facility,1)</f>
        <v>0.51400000000000001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3.2000000000000001E-2</v>
      </c>
      <c r="I15" s="60">
        <f>food_insecure</f>
        <v>3.2000000000000001E-2</v>
      </c>
      <c r="J15" s="60">
        <f>food_insecure</f>
        <v>3.2000000000000001E-2</v>
      </c>
      <c r="K15" s="60">
        <f>food_insecure</f>
        <v>3.2000000000000001E-2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0.52200000000000002</v>
      </c>
      <c r="M24" s="60">
        <f>famplan_unmet_need</f>
        <v>0.52200000000000002</v>
      </c>
      <c r="N24" s="60">
        <f>famplan_unmet_need</f>
        <v>0.52200000000000002</v>
      </c>
      <c r="O24" s="60">
        <f>famplan_unmet_need</f>
        <v>0.52200000000000002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0.1596057102294923</v>
      </c>
      <c r="M25" s="60">
        <f>(1-food_insecure)*(0.49)+food_insecure*(0.7)</f>
        <v>0.49671999999999994</v>
      </c>
      <c r="N25" s="60">
        <f>(1-food_insecure)*(0.49)+food_insecure*(0.7)</f>
        <v>0.49671999999999994</v>
      </c>
      <c r="O25" s="60">
        <f>(1-food_insecure)*(0.49)+food_insecure*(0.7)</f>
        <v>0.49671999999999994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6.8402447241210987E-2</v>
      </c>
      <c r="M26" s="60">
        <f>(1-food_insecure)*(0.21)+food_insecure*(0.3)</f>
        <v>0.21287999999999999</v>
      </c>
      <c r="N26" s="60">
        <f>(1-food_insecure)*(0.21)+food_insecure*(0.3)</f>
        <v>0.21287999999999999</v>
      </c>
      <c r="O26" s="60">
        <f>(1-food_insecure)*(0.21)+food_insecure*(0.3)</f>
        <v>0.21287999999999999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9.3311117431640694E-2</v>
      </c>
      <c r="M27" s="60">
        <f>(1-food_insecure)*(0.3)</f>
        <v>0.29039999999999999</v>
      </c>
      <c r="N27" s="60">
        <f>(1-food_insecure)*(0.3)</f>
        <v>0.29039999999999999</v>
      </c>
      <c r="O27" s="60">
        <f>(1-food_insecure)*(0.3)</f>
        <v>0.29039999999999999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0.67868072509765598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9J9gO1tsK6Me9snvKhcvvQgDUGg8y9WrfuBOQtGrGQURW0laJ48LKP9iv2Xa8azSDpuLCYiTnHMHe+nihCyJoQ==" saltValue="tz3jTF79FJAjDIBPZWKSc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njkYhVn6klJhb5ZdXqgrKCnjwLgfy4kCpe9UrUqNiZhrDcpXjehz1J/L1ham1RyiqT2j+Q5OzAOs2a8N5Dnmzg==" saltValue="OjTh19b3oZK2elvOAO5WB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o/J04pNEnYpT5GNoPaYPvNK3UaPOKU8dRj25R2zBWPFBphHfMSew8wRBnIzh+hIU8we/OIJCT3AZYPtej8qNLw==" saltValue="H343YMelllHk8R0AiiB4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VUPDhaHJUiHHOfGN4FYp1qMVmDkq7/1/WL4mQdlpBCVNJoMf7QJgVlHjljJEyXGK+filSPWTWkldGGgfajbf2g==" saltValue="N97n3qFBvna9RxeSHLbc6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BUSuU1WqybkRXOAIxxf96Li+Ip9WpuRsrHUJgMfI0CAk50reCVRwv4RYg0mhz8sGsQnb0tPhGikrfldx4ikHMw==" saltValue="mlUauVFTpUq3ziDIKuU3g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RpIr5rHR5sQzObZeWGTjtvGGIKqPxlLeJ0TiWyJ0MHM3LRUvzWd3nMU/SgWg7Qv3698pP/tkQubFvoIDzodw8g==" saltValue="bRxGkB1qFZChSLe1MrKKV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11186.686</v>
      </c>
      <c r="C2" s="49">
        <v>27000</v>
      </c>
      <c r="D2" s="49">
        <v>56000</v>
      </c>
      <c r="E2" s="49">
        <v>45000</v>
      </c>
      <c r="F2" s="49">
        <v>29000</v>
      </c>
      <c r="G2" s="17">
        <f t="shared" ref="G2:G11" si="0">C2+D2+E2+F2</f>
        <v>157000</v>
      </c>
      <c r="H2" s="17">
        <f t="shared" ref="H2:H11" si="1">(B2 + stillbirth*B2/(1000-stillbirth))/(1-abortion)</f>
        <v>12852.692958025571</v>
      </c>
      <c r="I2" s="17">
        <f t="shared" ref="I2:I11" si="2">G2-H2</f>
        <v>144147.30704197442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11121.502</v>
      </c>
      <c r="C3" s="50">
        <v>27000</v>
      </c>
      <c r="D3" s="50">
        <v>56000</v>
      </c>
      <c r="E3" s="50">
        <v>47000</v>
      </c>
      <c r="F3" s="50">
        <v>29000</v>
      </c>
      <c r="G3" s="17">
        <f t="shared" si="0"/>
        <v>159000</v>
      </c>
      <c r="H3" s="17">
        <f t="shared" si="1"/>
        <v>12777.801257500863</v>
      </c>
      <c r="I3" s="17">
        <f t="shared" si="2"/>
        <v>146222.19874249914</v>
      </c>
    </row>
    <row r="4" spans="1:9" ht="15.75" customHeight="1" x14ac:dyDescent="0.25">
      <c r="A4" s="5">
        <f t="shared" si="3"/>
        <v>2023</v>
      </c>
      <c r="B4" s="49">
        <v>11051.46</v>
      </c>
      <c r="C4" s="50">
        <v>27000</v>
      </c>
      <c r="D4" s="50">
        <v>55000</v>
      </c>
      <c r="E4" s="50">
        <v>48000</v>
      </c>
      <c r="F4" s="50">
        <v>30000</v>
      </c>
      <c r="G4" s="17">
        <f t="shared" si="0"/>
        <v>160000</v>
      </c>
      <c r="H4" s="17">
        <f t="shared" si="1"/>
        <v>12697.328066408698</v>
      </c>
      <c r="I4" s="17">
        <f t="shared" si="2"/>
        <v>147302.67193359131</v>
      </c>
    </row>
    <row r="5" spans="1:9" ht="15.75" customHeight="1" x14ac:dyDescent="0.25">
      <c r="A5" s="5">
        <f t="shared" si="3"/>
        <v>2024</v>
      </c>
      <c r="B5" s="49">
        <v>10976.56</v>
      </c>
      <c r="C5" s="50">
        <v>27000</v>
      </c>
      <c r="D5" s="50">
        <v>55000</v>
      </c>
      <c r="E5" s="50">
        <v>50000</v>
      </c>
      <c r="F5" s="50">
        <v>32000</v>
      </c>
      <c r="G5" s="17">
        <f t="shared" si="0"/>
        <v>164000</v>
      </c>
      <c r="H5" s="17">
        <f t="shared" si="1"/>
        <v>12611.273384749078</v>
      </c>
      <c r="I5" s="17">
        <f t="shared" si="2"/>
        <v>151388.72661525093</v>
      </c>
    </row>
    <row r="6" spans="1:9" ht="15.75" customHeight="1" x14ac:dyDescent="0.25">
      <c r="A6" s="5">
        <f t="shared" si="3"/>
        <v>2025</v>
      </c>
      <c r="B6" s="49">
        <v>10896.802</v>
      </c>
      <c r="C6" s="50">
        <v>27000</v>
      </c>
      <c r="D6" s="50">
        <v>54000</v>
      </c>
      <c r="E6" s="50">
        <v>51000</v>
      </c>
      <c r="F6" s="50">
        <v>34000</v>
      </c>
      <c r="G6" s="17">
        <f t="shared" si="0"/>
        <v>166000</v>
      </c>
      <c r="H6" s="17">
        <f t="shared" si="1"/>
        <v>12519.637212522004</v>
      </c>
      <c r="I6" s="17">
        <f t="shared" si="2"/>
        <v>153480.36278747799</v>
      </c>
    </row>
    <row r="7" spans="1:9" ht="15.75" customHeight="1" x14ac:dyDescent="0.25">
      <c r="A7" s="5">
        <f t="shared" si="3"/>
        <v>2026</v>
      </c>
      <c r="B7" s="49">
        <v>10812.3078</v>
      </c>
      <c r="C7" s="50">
        <v>27000</v>
      </c>
      <c r="D7" s="50">
        <v>54000</v>
      </c>
      <c r="E7" s="50">
        <v>52000</v>
      </c>
      <c r="F7" s="50">
        <v>35000</v>
      </c>
      <c r="G7" s="17">
        <f t="shared" si="0"/>
        <v>168000</v>
      </c>
      <c r="H7" s="17">
        <f t="shared" si="1"/>
        <v>12422.559489116342</v>
      </c>
      <c r="I7" s="17">
        <f t="shared" si="2"/>
        <v>155577.44051088367</v>
      </c>
    </row>
    <row r="8" spans="1:9" ht="15.75" customHeight="1" x14ac:dyDescent="0.25">
      <c r="A8" s="5">
        <f t="shared" si="3"/>
        <v>2027</v>
      </c>
      <c r="B8" s="49">
        <v>10705.550999999999</v>
      </c>
      <c r="C8" s="50">
        <v>27000</v>
      </c>
      <c r="D8" s="50">
        <v>54000</v>
      </c>
      <c r="E8" s="50">
        <v>52000</v>
      </c>
      <c r="F8" s="50">
        <v>37000</v>
      </c>
      <c r="G8" s="17">
        <f t="shared" si="0"/>
        <v>170000</v>
      </c>
      <c r="H8" s="17">
        <f t="shared" si="1"/>
        <v>12299.903648809272</v>
      </c>
      <c r="I8" s="17">
        <f t="shared" si="2"/>
        <v>157700.09635119073</v>
      </c>
    </row>
    <row r="9" spans="1:9" ht="15.75" customHeight="1" x14ac:dyDescent="0.25">
      <c r="A9" s="5">
        <f t="shared" si="3"/>
        <v>2028</v>
      </c>
      <c r="B9" s="49">
        <v>10611.6932</v>
      </c>
      <c r="C9" s="50">
        <v>27000</v>
      </c>
      <c r="D9" s="50">
        <v>54000</v>
      </c>
      <c r="E9" s="50">
        <v>53000</v>
      </c>
      <c r="F9" s="50">
        <v>39000</v>
      </c>
      <c r="G9" s="17">
        <f t="shared" si="0"/>
        <v>173000</v>
      </c>
      <c r="H9" s="17">
        <f t="shared" si="1"/>
        <v>12192.067826375731</v>
      </c>
      <c r="I9" s="17">
        <f t="shared" si="2"/>
        <v>160807.93217362426</v>
      </c>
    </row>
    <row r="10" spans="1:9" ht="15.75" customHeight="1" x14ac:dyDescent="0.25">
      <c r="A10" s="5">
        <f t="shared" si="3"/>
        <v>2029</v>
      </c>
      <c r="B10" s="49">
        <v>10512.9802</v>
      </c>
      <c r="C10" s="50">
        <v>27000</v>
      </c>
      <c r="D10" s="50">
        <v>54000</v>
      </c>
      <c r="E10" s="50">
        <v>53000</v>
      </c>
      <c r="F10" s="50">
        <v>41000</v>
      </c>
      <c r="G10" s="17">
        <f t="shared" si="0"/>
        <v>175000</v>
      </c>
      <c r="H10" s="17">
        <f t="shared" si="1"/>
        <v>12078.65373037218</v>
      </c>
      <c r="I10" s="17">
        <f t="shared" si="2"/>
        <v>162921.34626962783</v>
      </c>
    </row>
    <row r="11" spans="1:9" ht="15.75" customHeight="1" x14ac:dyDescent="0.25">
      <c r="A11" s="5">
        <f t="shared" si="3"/>
        <v>2030</v>
      </c>
      <c r="B11" s="49">
        <v>10393.045</v>
      </c>
      <c r="C11" s="50">
        <v>27000</v>
      </c>
      <c r="D11" s="50">
        <v>53000</v>
      </c>
      <c r="E11" s="50">
        <v>54000</v>
      </c>
      <c r="F11" s="50">
        <v>43000</v>
      </c>
      <c r="G11" s="17">
        <f t="shared" si="0"/>
        <v>177000</v>
      </c>
      <c r="H11" s="17">
        <f t="shared" si="1"/>
        <v>11940.856861803653</v>
      </c>
      <c r="I11" s="17">
        <f t="shared" si="2"/>
        <v>165059.14313819635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uJ4bOqEYr/++solxLhAzHN5y2axhOp82xBsQEBLCOhmW9C5tZxG9Qqu00JAvgto2qJf6gU6e600DQqZop1vz9A==" saltValue="gdcEKp5V/jn1R8Y79Cvx4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1.6169010589537671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1.6169010589537671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1.5977211603249217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1.5977211603249217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1.4075953425230248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1.4075953425230248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1.3949229095003948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1.3949229095003948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1.8482389560614298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1.8482389560614298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1.8218665954467672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1.8218665954467672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i2FcNmptRbt5xplfkVS216p2Slhb5XhypIcbp6nHqiiJ+4XMY7q696zN65UnJaYWDfh/bdQk4l61WSJxLjELfQ==" saltValue="3LnDQBKbzOnTzksxiOBI+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2EeIZAEGhhtGF7JM8qVVw9Fid5HrnLRWQRbHTTVuowK5WjshQlSNq+NnTvy/EgrbgpXKD9JWrWecw0bHt/BWAQ==" saltValue="CYLockI3DPfW61WUkz3jn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bLUknPueSNNFxQufJX8wvll8yf5rlUEv/yIj6Oyl0Ed/48lH3NVw7raKYmO1T4EnAVS/OfwKub3yleNedH4wcQ==" saltValue="gQ57ZHV4BDRxXYaca/fZH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0.59126043729038757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0.59126043729038757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0.85646621458076588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0.85646621458076588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0.85646621458076588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0.85646621458076588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0.38999153594744634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0.38999153594744634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0.82177433768423569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0.82177433768423569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0.82177433768423569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0.82177433768423569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0.90345013402807151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0.90345013402807151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0.89162509509555987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0.89162509509555987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0.89162509509555987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0.89162509509555987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6hnsLeDlwK1mHh2PJI3j7Y3n+VRmSBvV+fxYhYaPrbbLk2LBd0HjSKgkcKmI53mSpSFvMMMzp8JHzzrfuxbiag==" saltValue="j0uNtEpa0hg4jJadb05wD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d1nV9yunK1Y/Q+JYSIfTfXWoh7UW/X9/cfObV4v1qxFEdqxhzpTw0OcWg0Cftfw59p0OmRvQJ8CejbrCrQgubQ==" saltValue="zeHlqz/ZHMJjg0Mhxl1Uq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0.59009967079086223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0.61351204325016839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0.61351204325016839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0.59486051626345637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0.59486051626345637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0.59486051626345637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0.59486051626345637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0.63343108504398815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0.63343108504398815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0.63343108504398815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0.63343108504398815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0.69130132872981442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0.71175684658575078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0.71175684658575078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0.69549330085261873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0.69549330085261873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0.69549330085261873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0.69549330085261873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0.72885032537960937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0.72885032537960937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0.72885032537960937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0.72885032537960937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0.39657860061366934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0.42018359291175511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0.42018359291175511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0.4013067131738553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0.4013067131738553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0.4013067131738553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0.4013067131738553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0.44098775034026833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0.44098775034026833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0.44098775034026833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0.44098775034026833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0.56640873929064128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0.59023463723507041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0.59023463723507041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0.571244819208232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0.571244819208232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0.571244819208232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0.571244819208232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0.61059190031152644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0.61059190031152644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0.61059190031152644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0.61059190031152644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0.94764906773381408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0.95229034878708319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0.95229034878708319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0.94861869936801002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0.94861869936801002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0.94861869936801002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0.94861869936801002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0.95600140795494526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0.95600140795494526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0.95600140795494526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0.95600140795494526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0.8655604839187464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0.87653128721092022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0.87653128721092022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0.86783849864534468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0.86783849864534468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0.86783849864534468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0.86783849864534468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0.88542621448212644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0.88542621448212644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0.88542621448212644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0.88542621448212644</v>
      </c>
    </row>
  </sheetData>
  <sheetProtection algorithmName="SHA-512" hashValue="HlTosyo1QA0xsXXJE7LLUPMVAyIvt7W2XwOL3ECY0fCZuPimamvLyUZQDk+jrU9uNON4du/xo9l0GMDeSX2jNA==" saltValue="ivtIW8ANQAzqNn0ZbhdDN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0.85373726944842476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0.85301148556541506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0.85462315004582823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0.85742348104084287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0.85041494882596969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0.84592486512739229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0.84898846312369813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0.85407513075546349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0.7683635425035823</v>
      </c>
      <c r="E10" s="90">
        <f>E3*0.9</f>
        <v>0.76771033700887359</v>
      </c>
      <c r="F10" s="90">
        <f>F3*0.9</f>
        <v>0.76916083504124544</v>
      </c>
      <c r="G10" s="90">
        <f>G3*0.9</f>
        <v>0.77168113293675855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0.76537345394337275</v>
      </c>
      <c r="E12" s="90">
        <f>E5*0.9</f>
        <v>0.76133237861465308</v>
      </c>
      <c r="F12" s="90">
        <f>F5*0.9</f>
        <v>0.76408961681132836</v>
      </c>
      <c r="G12" s="90">
        <f>G5*0.9</f>
        <v>0.7686676176799172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0.896424132920846</v>
      </c>
      <c r="E17" s="90">
        <f>E3*1.05</f>
        <v>0.89566205984368585</v>
      </c>
      <c r="F17" s="90">
        <f>F3*1.05</f>
        <v>0.89735430754811962</v>
      </c>
      <c r="G17" s="90">
        <f>G3*1.05</f>
        <v>0.90029465509288509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0.89293569626726821</v>
      </c>
      <c r="E19" s="90">
        <f>E5*1.05</f>
        <v>0.88822110838376189</v>
      </c>
      <c r="F19" s="90">
        <f>F5*1.05</f>
        <v>0.89143788627988307</v>
      </c>
      <c r="G19" s="90">
        <f>G5*1.05</f>
        <v>0.89677888729323674</v>
      </c>
    </row>
  </sheetData>
  <sheetProtection algorithmName="SHA-512" hashValue="JdUo9Bubd0FQWZYTQHMGGuxqdo5sHe49teDnlvpxmoY1c8ESP2qawZaEYf3gUgc2Ix1fnTZefL/Uz3231YBgpw==" saltValue="rpSne0KaJGbtH3i4svgig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CNAA5J6Vrz4poHplv3z2EesBh1Ys0CCSOCc+4efQBMW2n4doCzTplTDEAdpXcZL6mu/zctQnDnyStAI8+GYqvw==" saltValue="nx2mqkl5p6vv8cSpD2IHN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59ldAAPUbY79i/WIs2y440NNNmNdzsOSJdurgFbUOp/4aLpe/tpBz9uHple4kFBT/skgvCXQlZlPMj5XyjfFEQ==" saltValue="kmsyqIl2cZzyvZY03C//l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0</v>
      </c>
    </row>
    <row r="4" spans="1:8" ht="15.75" customHeight="1" x14ac:dyDescent="0.25">
      <c r="B4" s="19" t="s">
        <v>79</v>
      </c>
      <c r="C4" s="101">
        <v>9.9967548877928303E-2</v>
      </c>
    </row>
    <row r="5" spans="1:8" ht="15.75" customHeight="1" x14ac:dyDescent="0.25">
      <c r="B5" s="19" t="s">
        <v>80</v>
      </c>
      <c r="C5" s="101">
        <v>4.5855736954698113E-2</v>
      </c>
    </row>
    <row r="6" spans="1:8" ht="15.75" customHeight="1" x14ac:dyDescent="0.25">
      <c r="B6" s="19" t="s">
        <v>81</v>
      </c>
      <c r="C6" s="101">
        <v>0.15053620475370899</v>
      </c>
    </row>
    <row r="7" spans="1:8" ht="15.75" customHeight="1" x14ac:dyDescent="0.25">
      <c r="B7" s="19" t="s">
        <v>82</v>
      </c>
      <c r="C7" s="101">
        <v>0.37845561308485021</v>
      </c>
    </row>
    <row r="8" spans="1:8" ht="15.75" customHeight="1" x14ac:dyDescent="0.25">
      <c r="B8" s="19" t="s">
        <v>83</v>
      </c>
      <c r="C8" s="101">
        <v>6.6264308785834412E-3</v>
      </c>
    </row>
    <row r="9" spans="1:8" ht="15.75" customHeight="1" x14ac:dyDescent="0.25">
      <c r="B9" s="19" t="s">
        <v>84</v>
      </c>
      <c r="C9" s="101">
        <v>0.21690164009790761</v>
      </c>
    </row>
    <row r="10" spans="1:8" ht="15.75" customHeight="1" x14ac:dyDescent="0.25">
      <c r="B10" s="19" t="s">
        <v>85</v>
      </c>
      <c r="C10" s="101">
        <v>0.1016568253523232</v>
      </c>
    </row>
    <row r="11" spans="1:8" ht="15.75" customHeight="1" x14ac:dyDescent="0.25">
      <c r="B11" s="27" t="s">
        <v>41</v>
      </c>
      <c r="C11" s="48">
        <f>SUM(C3:C10)</f>
        <v>0.99999999999999978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8.8507118602511259E-2</v>
      </c>
      <c r="D14" s="55">
        <v>8.8507118602511259E-2</v>
      </c>
      <c r="E14" s="55">
        <v>8.8507118602511259E-2</v>
      </c>
      <c r="F14" s="55">
        <v>8.8507118602511259E-2</v>
      </c>
    </row>
    <row r="15" spans="1:8" ht="15.75" customHeight="1" x14ac:dyDescent="0.25">
      <c r="B15" s="19" t="s">
        <v>88</v>
      </c>
      <c r="C15" s="101">
        <v>0.21696060114386809</v>
      </c>
      <c r="D15" s="101">
        <v>0.21696060114386809</v>
      </c>
      <c r="E15" s="101">
        <v>0.21696060114386809</v>
      </c>
      <c r="F15" s="101">
        <v>0.21696060114386809</v>
      </c>
    </row>
    <row r="16" spans="1:8" ht="15.75" customHeight="1" x14ac:dyDescent="0.25">
      <c r="B16" s="19" t="s">
        <v>89</v>
      </c>
      <c r="C16" s="101">
        <v>2.290902313216206E-2</v>
      </c>
      <c r="D16" s="101">
        <v>2.290902313216206E-2</v>
      </c>
      <c r="E16" s="101">
        <v>2.290902313216206E-2</v>
      </c>
      <c r="F16" s="101">
        <v>2.290902313216206E-2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0.10276143507776769</v>
      </c>
      <c r="D19" s="101">
        <v>0.10276143507776769</v>
      </c>
      <c r="E19" s="101">
        <v>0.10276143507776769</v>
      </c>
      <c r="F19" s="101">
        <v>0.10276143507776769</v>
      </c>
    </row>
    <row r="20" spans="1:8" ht="15.75" customHeight="1" x14ac:dyDescent="0.25">
      <c r="B20" s="19" t="s">
        <v>93</v>
      </c>
      <c r="C20" s="101">
        <v>2.9341733095646642E-2</v>
      </c>
      <c r="D20" s="101">
        <v>2.9341733095646642E-2</v>
      </c>
      <c r="E20" s="101">
        <v>2.9341733095646642E-2</v>
      </c>
      <c r="F20" s="101">
        <v>2.9341733095646642E-2</v>
      </c>
    </row>
    <row r="21" spans="1:8" ht="15.75" customHeight="1" x14ac:dyDescent="0.25">
      <c r="B21" s="19" t="s">
        <v>94</v>
      </c>
      <c r="C21" s="101">
        <v>0.10768296980069229</v>
      </c>
      <c r="D21" s="101">
        <v>0.10768296980069229</v>
      </c>
      <c r="E21" s="101">
        <v>0.10768296980069229</v>
      </c>
      <c r="F21" s="101">
        <v>0.10768296980069229</v>
      </c>
    </row>
    <row r="22" spans="1:8" ht="15.75" customHeight="1" x14ac:dyDescent="0.25">
      <c r="B22" s="19" t="s">
        <v>95</v>
      </c>
      <c r="C22" s="101">
        <v>0.43183711914735201</v>
      </c>
      <c r="D22" s="101">
        <v>0.43183711914735201</v>
      </c>
      <c r="E22" s="101">
        <v>0.43183711914735201</v>
      </c>
      <c r="F22" s="101">
        <v>0.43183711914735201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8.8581064000000001E-2</v>
      </c>
    </row>
    <row r="27" spans="1:8" ht="15.75" customHeight="1" x14ac:dyDescent="0.25">
      <c r="B27" s="19" t="s">
        <v>102</v>
      </c>
      <c r="C27" s="101">
        <v>8.3095249999999999E-3</v>
      </c>
    </row>
    <row r="28" spans="1:8" ht="15.75" customHeight="1" x14ac:dyDescent="0.25">
      <c r="B28" s="19" t="s">
        <v>103</v>
      </c>
      <c r="C28" s="101">
        <v>0.157741201</v>
      </c>
    </row>
    <row r="29" spans="1:8" ht="15.75" customHeight="1" x14ac:dyDescent="0.25">
      <c r="B29" s="19" t="s">
        <v>104</v>
      </c>
      <c r="C29" s="101">
        <v>0.16874623</v>
      </c>
    </row>
    <row r="30" spans="1:8" ht="15.75" customHeight="1" x14ac:dyDescent="0.25">
      <c r="B30" s="19" t="s">
        <v>2</v>
      </c>
      <c r="C30" s="101">
        <v>0.10641809300000001</v>
      </c>
    </row>
    <row r="31" spans="1:8" ht="15.75" customHeight="1" x14ac:dyDescent="0.25">
      <c r="B31" s="19" t="s">
        <v>105</v>
      </c>
      <c r="C31" s="101">
        <v>0.109242019</v>
      </c>
    </row>
    <row r="32" spans="1:8" ht="15.75" customHeight="1" x14ac:dyDescent="0.25">
      <c r="B32" s="19" t="s">
        <v>106</v>
      </c>
      <c r="C32" s="101">
        <v>1.8835845E-2</v>
      </c>
    </row>
    <row r="33" spans="2:3" ht="15.75" customHeight="1" x14ac:dyDescent="0.25">
      <c r="B33" s="19" t="s">
        <v>107</v>
      </c>
      <c r="C33" s="101">
        <v>8.4593191999999998E-2</v>
      </c>
    </row>
    <row r="34" spans="2:3" ht="15.75" customHeight="1" x14ac:dyDescent="0.25">
      <c r="B34" s="19" t="s">
        <v>108</v>
      </c>
      <c r="C34" s="101">
        <v>0.25753283100000002</v>
      </c>
    </row>
    <row r="35" spans="2:3" ht="15.75" customHeight="1" x14ac:dyDescent="0.25">
      <c r="B35" s="27" t="s">
        <v>41</v>
      </c>
      <c r="C35" s="48">
        <f>SUM(C26:C34)</f>
        <v>1</v>
      </c>
    </row>
  </sheetData>
  <sheetProtection algorithmName="SHA-512" hashValue="IE5iXSOT9VsoYe1FcezGNTg4GvJdOTF+X9DZJgbg2/4VYDiBpDB9iVk4iMa8WsiZQReoPsSxEIk/NBhgZyzU1Q==" saltValue="xwvgMd1jUfTK6/OBEFOjF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0.51176168394192467</v>
      </c>
      <c r="D2" s="52">
        <f>IFERROR(1-_xlfn.NORM.DIST(_xlfn.NORM.INV(SUM(D4:D5), 0, 1) + 1, 0, 1, TRUE), "")</f>
        <v>0.51176168394192467</v>
      </c>
      <c r="E2" s="52">
        <f>IFERROR(1-_xlfn.NORM.DIST(_xlfn.NORM.INV(SUM(E4:E5), 0, 1) + 1, 0, 1, TRUE), "")</f>
        <v>0.45681791986706566</v>
      </c>
      <c r="F2" s="52">
        <f>IFERROR(1-_xlfn.NORM.DIST(_xlfn.NORM.INV(SUM(F4:F5), 0, 1) + 1, 0, 1, TRUE), "")</f>
        <v>0.26981463829626573</v>
      </c>
      <c r="G2" s="52">
        <f>IFERROR(1-_xlfn.NORM.DIST(_xlfn.NORM.INV(SUM(G4:G5), 0, 1) + 1, 0, 1, TRUE), "")</f>
        <v>0.24211129681004595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0.33661274221110715</v>
      </c>
      <c r="D3" s="52">
        <f>IFERROR(_xlfn.NORM.DIST(_xlfn.NORM.INV(SUM(D4:D5), 0, 1) + 1, 0, 1, TRUE) - SUM(D4:D5), "")</f>
        <v>0.33661274221110715</v>
      </c>
      <c r="E3" s="52">
        <f>IFERROR(_xlfn.NORM.DIST(_xlfn.NORM.INV(SUM(E4:E5), 0, 1) + 1, 0, 1, TRUE) - SUM(E4:E5), "")</f>
        <v>0.35686400945506846</v>
      </c>
      <c r="F3" s="52">
        <f>IFERROR(_xlfn.NORM.DIST(_xlfn.NORM.INV(SUM(F4:F5), 0, 1) + 1, 0, 1, TRUE) - SUM(F4:F5), "")</f>
        <v>0.38066892199807328</v>
      </c>
      <c r="G3" s="52">
        <f>IFERROR(_xlfn.NORM.DIST(_xlfn.NORM.INV(SUM(G4:G5), 0, 1) + 1, 0, 1, TRUE) - SUM(G4:G5), "")</f>
        <v>0.37598041626208606</v>
      </c>
    </row>
    <row r="4" spans="1:15" ht="15.75" customHeight="1" x14ac:dyDescent="0.25">
      <c r="B4" s="5" t="s">
        <v>114</v>
      </c>
      <c r="C4" s="45">
        <v>8.58190532050008E-2</v>
      </c>
      <c r="D4" s="53">
        <v>8.58190532050008E-2</v>
      </c>
      <c r="E4" s="53">
        <v>0.10849992686993</v>
      </c>
      <c r="F4" s="53">
        <v>0.196529120835613</v>
      </c>
      <c r="G4" s="53">
        <v>0.203917682529314</v>
      </c>
    </row>
    <row r="5" spans="1:15" ht="15.75" customHeight="1" x14ac:dyDescent="0.25">
      <c r="B5" s="5" t="s">
        <v>115</v>
      </c>
      <c r="C5" s="45">
        <v>6.5806520641967403E-2</v>
      </c>
      <c r="D5" s="53">
        <v>6.5806520641967403E-2</v>
      </c>
      <c r="E5" s="53">
        <v>7.7818143807935905E-2</v>
      </c>
      <c r="F5" s="53">
        <v>0.15298731887004799</v>
      </c>
      <c r="G5" s="53">
        <v>0.17799060439855399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0.5611037003185233</v>
      </c>
      <c r="D8" s="52">
        <f>IFERROR(1-_xlfn.NORM.DIST(_xlfn.NORM.INV(SUM(D10:D11), 0, 1) + 1, 0, 1, TRUE), "")</f>
        <v>0.5611037003185233</v>
      </c>
      <c r="E8" s="52">
        <f>IFERROR(1-_xlfn.NORM.DIST(_xlfn.NORM.INV(SUM(E10:E11), 0, 1) + 1, 0, 1, TRUE), "")</f>
        <v>0.49532382510254602</v>
      </c>
      <c r="F8" s="52">
        <f>IFERROR(1-_xlfn.NORM.DIST(_xlfn.NORM.INV(SUM(F10:F11), 0, 1) + 1, 0, 1, TRUE), "")</f>
        <v>0.55443480549473745</v>
      </c>
      <c r="G8" s="52">
        <f>IFERROR(1-_xlfn.NORM.DIST(_xlfn.NORM.INV(SUM(G10:G11), 0, 1) + 1, 0, 1, TRUE), "")</f>
        <v>0.68762994887632833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0.31459866861867092</v>
      </c>
      <c r="D9" s="52">
        <f>IFERROR(_xlfn.NORM.DIST(_xlfn.NORM.INV(SUM(D10:D11), 0, 1) + 1, 0, 1, TRUE) - SUM(D10:D11), "")</f>
        <v>0.31459866861867092</v>
      </c>
      <c r="E9" s="52">
        <f>IFERROR(_xlfn.NORM.DIST(_xlfn.NORM.INV(SUM(E10:E11), 0, 1) + 1, 0, 1, TRUE) - SUM(E10:E11), "")</f>
        <v>0.34316798977380808</v>
      </c>
      <c r="F9" s="52">
        <f>IFERROR(_xlfn.NORM.DIST(_xlfn.NORM.INV(SUM(F10:F11), 0, 1) + 1, 0, 1, TRUE) - SUM(F10:F11), "")</f>
        <v>0.31776971356947803</v>
      </c>
      <c r="G9" s="52">
        <f>IFERROR(_xlfn.NORM.DIST(_xlfn.NORM.INV(SUM(G10:G11), 0, 1) + 1, 0, 1, TRUE) - SUM(G10:G11), "")</f>
        <v>0.24414525937919757</v>
      </c>
    </row>
    <row r="10" spans="1:15" ht="15.75" customHeight="1" x14ac:dyDescent="0.25">
      <c r="B10" s="5" t="s">
        <v>119</v>
      </c>
      <c r="C10" s="45">
        <v>7.4508837978260592E-2</v>
      </c>
      <c r="D10" s="53">
        <v>7.4508837978260592E-2</v>
      </c>
      <c r="E10" s="53">
        <v>0.106223732414144</v>
      </c>
      <c r="F10" s="53">
        <v>8.4788969847719692E-2</v>
      </c>
      <c r="G10" s="53">
        <v>4.7211848659870402E-2</v>
      </c>
    </row>
    <row r="11" spans="1:15" ht="15.75" customHeight="1" x14ac:dyDescent="0.25">
      <c r="B11" s="5" t="s">
        <v>120</v>
      </c>
      <c r="C11" s="45">
        <v>4.9788793084545202E-2</v>
      </c>
      <c r="D11" s="53">
        <v>4.9788793084545202E-2</v>
      </c>
      <c r="E11" s="53">
        <v>5.5284452709501899E-2</v>
      </c>
      <c r="F11" s="53">
        <v>4.3006511088064803E-2</v>
      </c>
      <c r="G11" s="53">
        <v>2.1012943084603702E-2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0.46033876800000001</v>
      </c>
      <c r="D14" s="54">
        <v>0.44014876555400001</v>
      </c>
      <c r="E14" s="54">
        <v>0.44014876555400001</v>
      </c>
      <c r="F14" s="54">
        <v>0.382676710483</v>
      </c>
      <c r="G14" s="54">
        <v>0.382676710483</v>
      </c>
      <c r="H14" s="45">
        <v>0.42899999999999999</v>
      </c>
      <c r="I14" s="55">
        <v>0.42899999999999999</v>
      </c>
      <c r="J14" s="55">
        <v>0.42899999999999999</v>
      </c>
      <c r="K14" s="55">
        <v>0.42899999999999999</v>
      </c>
      <c r="L14" s="45">
        <v>0.32800000000000001</v>
      </c>
      <c r="M14" s="55">
        <v>0.32800000000000001</v>
      </c>
      <c r="N14" s="55">
        <v>0.32800000000000001</v>
      </c>
      <c r="O14" s="55">
        <v>0.32800000000000001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0.220061725671024</v>
      </c>
      <c r="D15" s="52">
        <f t="shared" si="0"/>
        <v>0.21041003633173083</v>
      </c>
      <c r="E15" s="52">
        <f t="shared" si="0"/>
        <v>0.21041003633173083</v>
      </c>
      <c r="F15" s="52">
        <f t="shared" si="0"/>
        <v>0.18293592270942477</v>
      </c>
      <c r="G15" s="52">
        <f t="shared" si="0"/>
        <v>0.18293592270942477</v>
      </c>
      <c r="H15" s="52">
        <f t="shared" si="0"/>
        <v>0.205080447</v>
      </c>
      <c r="I15" s="52">
        <f t="shared" si="0"/>
        <v>0.205080447</v>
      </c>
      <c r="J15" s="52">
        <f t="shared" si="0"/>
        <v>0.205080447</v>
      </c>
      <c r="K15" s="52">
        <f t="shared" si="0"/>
        <v>0.205080447</v>
      </c>
      <c r="L15" s="52">
        <f t="shared" si="0"/>
        <v>0.15679810399999999</v>
      </c>
      <c r="M15" s="52">
        <f t="shared" si="0"/>
        <v>0.15679810399999999</v>
      </c>
      <c r="N15" s="52">
        <f t="shared" si="0"/>
        <v>0.15679810399999999</v>
      </c>
      <c r="O15" s="52">
        <f t="shared" si="0"/>
        <v>0.15679810399999999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YeoIbEsSBNsCQVkkx3NiXuObWAAr44/YauVg+HyMJoSA7JQc9AipHpdNouy7nujs3+W7cNQy7RaC0fCXn1fgOg==" saltValue="c1Nz2TME/4nRjm+WkA6qG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9.2236928641796098E-2</v>
      </c>
      <c r="D2" s="53">
        <v>6.3108289999999997E-2</v>
      </c>
      <c r="E2" s="53"/>
      <c r="F2" s="53"/>
      <c r="G2" s="53"/>
    </row>
    <row r="3" spans="1:7" x14ac:dyDescent="0.25">
      <c r="B3" s="3" t="s">
        <v>130</v>
      </c>
      <c r="C3" s="53">
        <v>0.113897509872913</v>
      </c>
      <c r="D3" s="53">
        <v>0.11909740000000001</v>
      </c>
      <c r="E3" s="53"/>
      <c r="F3" s="53"/>
      <c r="G3" s="53"/>
    </row>
    <row r="4" spans="1:7" x14ac:dyDescent="0.25">
      <c r="B4" s="3" t="s">
        <v>131</v>
      </c>
      <c r="C4" s="53">
        <v>0.14785376191139199</v>
      </c>
      <c r="D4" s="53">
        <v>0.43906440000000002</v>
      </c>
      <c r="E4" s="53">
        <v>0.83675640821456898</v>
      </c>
      <c r="F4" s="53">
        <v>0.38914692401885997</v>
      </c>
      <c r="G4" s="53"/>
    </row>
    <row r="5" spans="1:7" x14ac:dyDescent="0.25">
      <c r="B5" s="3" t="s">
        <v>132</v>
      </c>
      <c r="C5" s="52">
        <v>0.64601176977157604</v>
      </c>
      <c r="D5" s="52">
        <v>0.37872987985611001</v>
      </c>
      <c r="E5" s="52">
        <f>1-SUM(E2:E4)</f>
        <v>0.16324359178543102</v>
      </c>
      <c r="F5" s="52">
        <f>1-SUM(F2:F4)</f>
        <v>0.61085307598114003</v>
      </c>
      <c r="G5" s="52">
        <f>1-SUM(G2:G4)</f>
        <v>1</v>
      </c>
    </row>
  </sheetData>
  <sheetProtection algorithmName="SHA-512" hashValue="1PTP2UHbJy3X7ZlT55L3lYa3TU/pwmWA2Dj4zCrMUHmaVt8Am4GqqCzMCc2LLHg+1hIDq1E4+cpsba7dClsmCg==" saltValue="ZYkoTOg10Ldt88IPbi81U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cN/Z1slBWnWK1EF55K+70tY1Cae8DFbyGjaJCT5/UnjiXBWciKQGmCCl2Mny3JHLfgaPuV4M1MVoJpU9uJX/PQ==" saltValue="Jz7oUqkEGpdHh01Nhj6Bs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XmlRjtNQd2tCy4HM9x2Q0lqD9bq8h7jSvkC5IblBnBX+9neBypDHkYfOJGKhObwlgse3iUZ+yNTEDQBMiqJnGQ==" saltValue="TUUsSq3cW+XyuXPPEHzhf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dOTqEd4XZCMjrbgTm822C+lOUARvhE7DCCxvNE6mAi7z171sdni4k+BnAmjop/t5XYlSjLQ3W5EFo2pzMMYcyw==" saltValue="4fAJs0uvcL5jxxgKrNW6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CSLh6gmapWaoBSSpRnOndu45a3LiKpE9EM/Sd/AsffuaRDB260b+rLBM+DOs4YibMhK0JWltRo8bgCV352uX9w==" saltValue="uK2VBM7QnNqqpZTan/Vo2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2024-03-15T02:52:08Z</dcterms:modified>
</cp:coreProperties>
</file>