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ED70738C-9ADF-45D5-AF1A-4EFBD19030BD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A39" i="2"/>
  <c r="H38" i="2"/>
  <c r="G38" i="2"/>
  <c r="A37" i="2"/>
  <c r="A23" i="2"/>
  <c r="A21" i="2"/>
  <c r="A15" i="2"/>
  <c r="H11" i="2"/>
  <c r="I11" i="2" s="1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G5" i="2"/>
  <c r="H4" i="2"/>
  <c r="G4" i="2"/>
  <c r="H3" i="2"/>
  <c r="G3" i="2"/>
  <c r="I3" i="2" s="1"/>
  <c r="H2" i="2"/>
  <c r="G2" i="2"/>
  <c r="I2" i="2" s="1"/>
  <c r="A2" i="2"/>
  <c r="A36" i="2" s="1"/>
  <c r="C33" i="1"/>
  <c r="C20" i="1"/>
  <c r="I5" i="2" l="1"/>
  <c r="A18" i="2"/>
  <c r="I38" i="2"/>
  <c r="F19" i="26"/>
  <c r="A26" i="2"/>
  <c r="A3" i="2"/>
  <c r="A29" i="2"/>
  <c r="E10" i="26"/>
  <c r="A31" i="2"/>
  <c r="I4" i="2"/>
  <c r="I8" i="2"/>
  <c r="A13" i="2"/>
  <c r="A34" i="2"/>
  <c r="I40" i="2"/>
  <c r="A14" i="2"/>
  <c r="A22" i="2"/>
  <c r="A30" i="2"/>
  <c r="A38" i="2"/>
  <c r="A40" i="2"/>
  <c r="D10" i="26"/>
  <c r="G12" i="26"/>
  <c r="E19" i="26"/>
  <c r="A16" i="2"/>
  <c r="A24" i="2"/>
  <c r="A32" i="2"/>
  <c r="F10" i="26"/>
  <c r="A17" i="2"/>
  <c r="A25" i="2"/>
  <c r="A33" i="2"/>
  <c r="G10" i="26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<sst xmlns="http://schemas.openxmlformats.org/spreadsheetml/2006/main" count="2092" uniqueCount="337">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</sst>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308138.9609375</v>
      </c>
    </row>
    <row r="8" spans="1:3" ht="15" customHeight="1" x14ac:dyDescent="0.25">
      <c r="B8" s="5" t="s">
        <v>19</v>
      </c>
      <c r="C8" s="44">
        <v>3.4000000000000002E-2</v>
      </c>
    </row>
    <row r="9" spans="1:3" ht="15" customHeight="1" x14ac:dyDescent="0.25">
      <c r="B9" s="5" t="s">
        <v>20</v>
      </c>
      <c r="C9" s="45">
        <v>0.96</v>
      </c>
    </row>
    <row r="10" spans="1:3" ht="15" customHeight="1" x14ac:dyDescent="0.25">
      <c r="B10" s="5" t="s">
        <v>21</v>
      </c>
      <c r="C10" s="45">
        <v>0.32603321079999997</v>
      </c>
    </row>
    <row r="11" spans="1:3" ht="15" customHeight="1" x14ac:dyDescent="0.25">
      <c r="B11" s="5" t="s">
        <v>22</v>
      </c>
      <c r="C11" s="45">
        <v>0.77599999999999991</v>
      </c>
    </row>
    <row r="12" spans="1:3" ht="15" customHeight="1" x14ac:dyDescent="0.25">
      <c r="B12" s="5" t="s">
        <v>23</v>
      </c>
      <c r="C12" s="45">
        <v>0.67700000000000005</v>
      </c>
    </row>
    <row r="13" spans="1:3" ht="15" customHeight="1" x14ac:dyDescent="0.25">
      <c r="B13" s="5" t="s">
        <v>24</v>
      </c>
      <c r="C13" s="45">
        <v>0.66299999999999992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0.13100000000000001</v>
      </c>
    </row>
    <row r="24" spans="1:3" ht="15" customHeight="1" x14ac:dyDescent="0.25">
      <c r="B24" s="15" t="s">
        <v>33</v>
      </c>
      <c r="C24" s="45">
        <v>0.434</v>
      </c>
    </row>
    <row r="25" spans="1:3" ht="15" customHeight="1" x14ac:dyDescent="0.25">
      <c r="B25" s="15" t="s">
        <v>34</v>
      </c>
      <c r="C25" s="45">
        <v>0.35249999999999998</v>
      </c>
    </row>
    <row r="26" spans="1:3" ht="15" customHeight="1" x14ac:dyDescent="0.25">
      <c r="B26" s="15" t="s">
        <v>35</v>
      </c>
      <c r="C26" s="45">
        <v>8.2500000000000004E-2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0.28694122510860798</v>
      </c>
    </row>
    <row r="30" spans="1:3" ht="14.25" customHeight="1" x14ac:dyDescent="0.25">
      <c r="B30" s="25" t="s">
        <v>38</v>
      </c>
      <c r="C30" s="99">
        <v>5.0024672511500702E-2</v>
      </c>
    </row>
    <row r="31" spans="1:3" ht="14.25" customHeight="1" x14ac:dyDescent="0.25">
      <c r="B31" s="25" t="s">
        <v>39</v>
      </c>
      <c r="C31" s="99">
        <v>8.0042096462401291E-2</v>
      </c>
    </row>
    <row r="32" spans="1:3" ht="14.25" customHeight="1" x14ac:dyDescent="0.25">
      <c r="B32" s="25" t="s">
        <v>40</v>
      </c>
      <c r="C32" s="99">
        <v>0.58299200591749001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20.246217787220701</v>
      </c>
    </row>
    <row r="38" spans="1:5" ht="15" customHeight="1" x14ac:dyDescent="0.25">
      <c r="B38" s="11" t="s">
        <v>45</v>
      </c>
      <c r="C38" s="43">
        <v>31.145861605415799</v>
      </c>
      <c r="D38" s="12"/>
      <c r="E38" s="13"/>
    </row>
    <row r="39" spans="1:5" ht="15" customHeight="1" x14ac:dyDescent="0.25">
      <c r="B39" s="11" t="s">
        <v>46</v>
      </c>
      <c r="C39" s="43">
        <v>42.460151798518197</v>
      </c>
      <c r="D39" s="12"/>
      <c r="E39" s="12"/>
    </row>
    <row r="40" spans="1:5" ht="15" customHeight="1" x14ac:dyDescent="0.25">
      <c r="B40" s="11" t="s">
        <v>47</v>
      </c>
      <c r="C40" s="100">
        <v>2.52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13.80084639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2.2036E-3</v>
      </c>
      <c r="D45" s="12"/>
    </row>
    <row r="46" spans="1:5" ht="15.75" customHeight="1" x14ac:dyDescent="0.25">
      <c r="B46" s="11" t="s">
        <v>52</v>
      </c>
      <c r="C46" s="45">
        <v>6.5895300000000004E-2</v>
      </c>
      <c r="D46" s="12"/>
    </row>
    <row r="47" spans="1:5" ht="15.75" customHeight="1" x14ac:dyDescent="0.25">
      <c r="B47" s="11" t="s">
        <v>53</v>
      </c>
      <c r="C47" s="45">
        <v>0.1456296</v>
      </c>
      <c r="D47" s="12"/>
      <c r="E47" s="13"/>
    </row>
    <row r="48" spans="1:5" ht="15" customHeight="1" x14ac:dyDescent="0.25">
      <c r="B48" s="11" t="s">
        <v>54</v>
      </c>
      <c r="C48" s="46">
        <v>0.78627150000000001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0.40570099999999998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0.1421289</v>
      </c>
    </row>
    <row r="63" spans="1:4" ht="15.75" customHeight="1" x14ac:dyDescent="0.3">
      <c r="A63" s="4"/>
    </row>
  </sheetData>
  <sheetProtection algorithmName="SHA-512" hashValue="CyIOBXSVN/ophgLKaFF8kyFymVjOqmlxguJXDoMNkyYaKejBnNrQFesh0KGB5JXDQSSh85xwdrUiq9kbIlEvEA==" saltValue="bwVq6FvqsNgUANDRCNsl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0.25710209777753001</v>
      </c>
      <c r="C2" s="98">
        <v>0.95</v>
      </c>
      <c r="D2" s="56">
        <v>77.390193053910821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40.314078775655148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717.93406611531384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1.841235726526929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13.446378219451059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13.446378219451059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13.446378219451059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13.446378219451059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13.446378219451059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13.446378219451059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0.50268954706191993</v>
      </c>
      <c r="C16" s="98">
        <v>0.95</v>
      </c>
      <c r="D16" s="56">
        <v>1.1530314605155489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16.459595752364979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16.459595752364979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</v>
      </c>
      <c r="C21" s="98">
        <v>0.95</v>
      </c>
      <c r="D21" s="56">
        <v>15.053841697970229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23.431813824225639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1.2E-2</v>
      </c>
      <c r="C23" s="98">
        <v>0.95</v>
      </c>
      <c r="D23" s="56">
        <v>4.5507118970106513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0.71549070036774298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0.22807196557123999</v>
      </c>
      <c r="C27" s="98">
        <v>0.95</v>
      </c>
      <c r="D27" s="56">
        <v>19.019954364099402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0.26135510000000001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157.83610683338631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0.93338364466171397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4.5115040000000002E-2</v>
      </c>
      <c r="C32" s="98">
        <v>0.95</v>
      </c>
      <c r="D32" s="56">
        <v>2.5205892106452601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0.47413276717842989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6.6808099719985172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0.1782716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NJ5QZ/CJF6UcZzOlI/9Jp9VS0gE8/o863gLFwwr5BPmViAmj81mwf3bzCDvBQTStBTBBiDbKmP0GAt1d/MTUHg==" saltValue="JjPg2lv/m1d2zB0/ainnj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x14ac:dyDescent="0.25">
      <c r="A2" s="57" t="s">
        <v>180</v>
      </c>
      <c r="B2" s="47" t="s">
        <v>190</v>
      </c>
      <c r="C2" s="47"/>
    </row>
    <row r="3" spans="1:3" x14ac:dyDescent="0.25">
      <c r="A3" s="57" t="s">
        <v>181</v>
      </c>
      <c r="B3" s="47" t="s">
        <v>190</v>
      </c>
      <c r="C3" s="47"/>
    </row>
    <row r="4" spans="1:3" x14ac:dyDescent="0.25">
      <c r="A4" s="57" t="s">
        <v>192</v>
      </c>
      <c r="B4" s="47" t="s">
        <v>185</v>
      </c>
      <c r="C4" s="47"/>
    </row>
    <row r="5" spans="1:3" x14ac:dyDescent="0.25">
      <c r="A5" s="57" t="s">
        <v>189</v>
      </c>
      <c r="B5" s="47" t="s">
        <v>185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Z2Y34D2N5pulVoNadHZRGVRXOXcL1r7ellsc2q/Y2dlPyvyJu4EDdmhpqOGhoEyrLxFMW6r0iYTPgiKG7wF5qA==" saltValue="W+1lGIfQkro0NjEqKDsCP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x14ac:dyDescent="0.25">
      <c r="A2" s="33" t="s">
        <v>172</v>
      </c>
    </row>
    <row r="3" spans="1:1" x14ac:dyDescent="0.25">
      <c r="A3" s="33" t="s">
        <v>182</v>
      </c>
    </row>
    <row r="4" spans="1:1" x14ac:dyDescent="0.25">
      <c r="A4" s="33" t="s">
        <v>186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mMzbzr7APTJhp97b3ZEv7kLwWqgxfHmAQ+OsZQvDAVI6aKfUmAvbWTkdsyG4HaEHgtwbIjzoUGoZc1cqpyNLHQ==" saltValue="xp9kF7N5nQPKx8Qg5ymgd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9.6105613559484354E-2</v>
      </c>
      <c r="C3" s="21">
        <f>frac_mam_1_5months * 2.6</f>
        <v>9.6105613559484354E-2</v>
      </c>
      <c r="D3" s="21">
        <f>frac_mam_6_11months * 2.6</f>
        <v>8.5290761291980655E-2</v>
      </c>
      <c r="E3" s="21">
        <f>frac_mam_12_23months * 2.6</f>
        <v>2.8507290221750858E-2</v>
      </c>
      <c r="F3" s="21">
        <f>frac_mam_24_59months * 2.6</f>
        <v>5.2492974698543603E-2</v>
      </c>
    </row>
    <row r="4" spans="1:6" ht="15.75" customHeight="1" x14ac:dyDescent="0.25">
      <c r="A4" s="3" t="s">
        <v>208</v>
      </c>
      <c r="B4" s="21">
        <f>frac_sam_1month * 2.6</f>
        <v>5.2136785909533523E-2</v>
      </c>
      <c r="C4" s="21">
        <f>frac_sam_1_5months * 2.6</f>
        <v>5.2136785909533523E-2</v>
      </c>
      <c r="D4" s="21">
        <f>frac_sam_6_11months * 2.6</f>
        <v>6.5846870094537741E-2</v>
      </c>
      <c r="E4" s="21">
        <f>frac_sam_12_23months * 2.6</f>
        <v>3.4877971932292064E-2</v>
      </c>
      <c r="F4" s="21">
        <f>frac_sam_24_59months * 2.6</f>
        <v>2.4825429730117379E-2</v>
      </c>
    </row>
  </sheetData>
  <sheetProtection algorithmName="SHA-512" hashValue="NRGvrY+M0hkgSJ3amnNAC1qsuc0IGCMRtnH4szhxTJCURNubSZki+rpt1O//Iby6N+xOUrPbNx9T6bd+R7tp4Q==" saltValue="gXY85NQVwUiQcGhxzdB5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3.4000000000000002E-2</v>
      </c>
      <c r="E2" s="60">
        <f>food_insecure</f>
        <v>3.4000000000000002E-2</v>
      </c>
      <c r="F2" s="60">
        <f>food_insecure</f>
        <v>3.4000000000000002E-2</v>
      </c>
      <c r="G2" s="60">
        <f>food_insecure</f>
        <v>3.4000000000000002E-2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3.4000000000000002E-2</v>
      </c>
      <c r="F5" s="60">
        <f>food_insecure</f>
        <v>3.4000000000000002E-2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3.4000000000000002E-2</v>
      </c>
      <c r="F8" s="60">
        <f>food_insecure</f>
        <v>3.4000000000000002E-2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3.4000000000000002E-2</v>
      </c>
      <c r="F9" s="60">
        <f>food_insecure</f>
        <v>3.4000000000000002E-2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0.67700000000000005</v>
      </c>
      <c r="E10" s="60">
        <f>IF(ISBLANK(comm_deliv), frac_children_health_facility,1)</f>
        <v>0.67700000000000005</v>
      </c>
      <c r="F10" s="60">
        <f>IF(ISBLANK(comm_deliv), frac_children_health_facility,1)</f>
        <v>0.67700000000000005</v>
      </c>
      <c r="G10" s="60">
        <f>IF(ISBLANK(comm_deliv), frac_children_health_facility,1)</f>
        <v>0.67700000000000005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3.4000000000000002E-2</v>
      </c>
      <c r="I15" s="60">
        <f>food_insecure</f>
        <v>3.4000000000000002E-2</v>
      </c>
      <c r="J15" s="60">
        <f>food_insecure</f>
        <v>3.4000000000000002E-2</v>
      </c>
      <c r="K15" s="60">
        <f>food_insecure</f>
        <v>3.4000000000000002E-2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0.77599999999999991</v>
      </c>
      <c r="I18" s="60">
        <f>frac_PW_health_facility</f>
        <v>0.77599999999999991</v>
      </c>
      <c r="J18" s="60">
        <f>frac_PW_health_facility</f>
        <v>0.77599999999999991</v>
      </c>
      <c r="K18" s="60">
        <f>frac_PW_health_facility</f>
        <v>0.77599999999999991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0.66299999999999992</v>
      </c>
      <c r="M24" s="60">
        <f>famplan_unmet_need</f>
        <v>0.66299999999999992</v>
      </c>
      <c r="N24" s="60">
        <f>famplan_unmet_need</f>
        <v>0.66299999999999992</v>
      </c>
      <c r="O24" s="60">
        <f>famplan_unmet_need</f>
        <v>0.66299999999999992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0.33505584958288803</v>
      </c>
      <c r="M25" s="60">
        <f>(1-food_insecure)*(0.49)+food_insecure*(0.7)</f>
        <v>0.49713999999999997</v>
      </c>
      <c r="N25" s="60">
        <f>(1-food_insecure)*(0.49)+food_insecure*(0.7)</f>
        <v>0.49713999999999997</v>
      </c>
      <c r="O25" s="60">
        <f>(1-food_insecure)*(0.49)+food_insecure*(0.7)</f>
        <v>0.49713999999999997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0.14359536410695201</v>
      </c>
      <c r="M26" s="60">
        <f>(1-food_insecure)*(0.21)+food_insecure*(0.3)</f>
        <v>0.21305999999999997</v>
      </c>
      <c r="N26" s="60">
        <f>(1-food_insecure)*(0.21)+food_insecure*(0.3)</f>
        <v>0.21305999999999997</v>
      </c>
      <c r="O26" s="60">
        <f>(1-food_insecure)*(0.21)+food_insecure*(0.3)</f>
        <v>0.21305999999999997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0.19531557551016002</v>
      </c>
      <c r="M27" s="60">
        <f>(1-food_insecure)*(0.3)</f>
        <v>0.2898</v>
      </c>
      <c r="N27" s="60">
        <f>(1-food_insecure)*(0.3)</f>
        <v>0.2898</v>
      </c>
      <c r="O27" s="60">
        <f>(1-food_insecure)*(0.3)</f>
        <v>0.2898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rO+Tp7gS2O3DS1eTAbLAUdmhCgAawES5HTYuVu8itAK7TZGEyCAZNPoiORSPcumrvV5ia7VDvxCAdQaloauqhw==" saltValue="Ldoqe/9QYHiCDTYQdCF1v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NIIPlJ0dcOmjICrqWXZSKz7ldaUn1KCdi0dkQPYl16SFek1kz0wR1PeWyMP+GBZcRzzs03RpCAmzYG8Fyrnsbw==" saltValue="yQ3vZuqyQkTXTK9EJQbLz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CfJ98HGb5HGh31X/LR1YcN4cSxe5XwIbPiYBM8SS0TPJ6nG/kRZoBIOR6iaLrcZYVKAwL0y2xtr8E5hOIxrLyg==" saltValue="1PEiZTA3APm9wIQiPOUv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IttT1207vmgX0iEAWNw16WEB4dNw+A7T7u/0vuMd3iVfOItfG6ue6hGsh0QW0XiN3yoCKj3lOt4A6oOqxPVDeA==" saltValue="1HYz2//gYeva38q+gE59s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UF0w4dqlvbNAP0ya1Lihtk82SLpUtGINsIM8fezRqNlj1W/o3yJXjWFYQeFMynz+Q0YZBKBoDdVv9JYElJR5OQ==" saltValue="AdCOob7ZDsMu/LAaCOIkN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PVBr1ihvw4Z9iypXYoBei38KO5k1yzxb6fWN0rrbEgkeklixIkfr6PG8T0xSZnRrP7cLwRiZbmRLxEEQvRxow==" saltValue="c7PE34q3y5jxmfcvDiDSM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58382.34</v>
      </c>
      <c r="C2" s="49">
        <v>99000</v>
      </c>
      <c r="D2" s="49">
        <v>178000</v>
      </c>
      <c r="E2" s="49">
        <v>155000</v>
      </c>
      <c r="F2" s="49">
        <v>109000</v>
      </c>
      <c r="G2" s="17">
        <f t="shared" ref="G2:G11" si="0">C2+D2+E2+F2</f>
        <v>541000</v>
      </c>
      <c r="H2" s="17">
        <f t="shared" ref="H2:H11" si="1">(B2 + stillbirth*B2/(1000-stillbirth))/(1-abortion)</f>
        <v>67271.978422376793</v>
      </c>
      <c r="I2" s="17">
        <f t="shared" ref="I2:I11" si="2">G2-H2</f>
        <v>473728.02157762321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58467.75</v>
      </c>
      <c r="C3" s="50">
        <v>102000</v>
      </c>
      <c r="D3" s="50">
        <v>179000</v>
      </c>
      <c r="E3" s="50">
        <v>158000</v>
      </c>
      <c r="F3" s="50">
        <v>114000</v>
      </c>
      <c r="G3" s="17">
        <f t="shared" si="0"/>
        <v>553000</v>
      </c>
      <c r="H3" s="17">
        <f t="shared" si="1"/>
        <v>67370.393451254626</v>
      </c>
      <c r="I3" s="17">
        <f t="shared" si="2"/>
        <v>485629.60654874536</v>
      </c>
    </row>
    <row r="4" spans="1:9" ht="15.75" customHeight="1" x14ac:dyDescent="0.25">
      <c r="A4" s="5">
        <f t="shared" si="3"/>
        <v>2023</v>
      </c>
      <c r="B4" s="49">
        <v>58536.12</v>
      </c>
      <c r="C4" s="50">
        <v>105000</v>
      </c>
      <c r="D4" s="50">
        <v>181000</v>
      </c>
      <c r="E4" s="50">
        <v>160000</v>
      </c>
      <c r="F4" s="50">
        <v>118000</v>
      </c>
      <c r="G4" s="17">
        <f t="shared" si="0"/>
        <v>564000</v>
      </c>
      <c r="H4" s="17">
        <f t="shared" si="1"/>
        <v>67449.173869523889</v>
      </c>
      <c r="I4" s="17">
        <f t="shared" si="2"/>
        <v>496550.82613047608</v>
      </c>
    </row>
    <row r="5" spans="1:9" ht="15.75" customHeight="1" x14ac:dyDescent="0.25">
      <c r="A5" s="5">
        <f t="shared" si="3"/>
        <v>2024</v>
      </c>
      <c r="B5" s="49">
        <v>58535.684999999998</v>
      </c>
      <c r="C5" s="50">
        <v>108000</v>
      </c>
      <c r="D5" s="50">
        <v>182000</v>
      </c>
      <c r="E5" s="50">
        <v>162000</v>
      </c>
      <c r="F5" s="50">
        <v>122000</v>
      </c>
      <c r="G5" s="17">
        <f t="shared" si="0"/>
        <v>574000</v>
      </c>
      <c r="H5" s="17">
        <f t="shared" si="1"/>
        <v>67448.672633865732</v>
      </c>
      <c r="I5" s="17">
        <f t="shared" si="2"/>
        <v>506551.32736613427</v>
      </c>
    </row>
    <row r="6" spans="1:9" ht="15.75" customHeight="1" x14ac:dyDescent="0.25">
      <c r="A6" s="5">
        <f t="shared" si="3"/>
        <v>2025</v>
      </c>
      <c r="B6" s="49">
        <v>58492.570000000007</v>
      </c>
      <c r="C6" s="50">
        <v>112000</v>
      </c>
      <c r="D6" s="50">
        <v>185000</v>
      </c>
      <c r="E6" s="50">
        <v>165000</v>
      </c>
      <c r="F6" s="50">
        <v>126000</v>
      </c>
      <c r="G6" s="17">
        <f t="shared" si="0"/>
        <v>588000</v>
      </c>
      <c r="H6" s="17">
        <f t="shared" si="1"/>
        <v>67398.992690415718</v>
      </c>
      <c r="I6" s="17">
        <f t="shared" si="2"/>
        <v>520601.0073095843</v>
      </c>
    </row>
    <row r="7" spans="1:9" ht="15.75" customHeight="1" x14ac:dyDescent="0.25">
      <c r="A7" s="5">
        <f t="shared" si="3"/>
        <v>2026</v>
      </c>
      <c r="B7" s="49">
        <v>58786.896000000001</v>
      </c>
      <c r="C7" s="50">
        <v>116000</v>
      </c>
      <c r="D7" s="50">
        <v>189000</v>
      </c>
      <c r="E7" s="50">
        <v>167000</v>
      </c>
      <c r="F7" s="50">
        <v>130000</v>
      </c>
      <c r="G7" s="17">
        <f t="shared" si="0"/>
        <v>602000</v>
      </c>
      <c r="H7" s="17">
        <f t="shared" si="1"/>
        <v>67738.134498043568</v>
      </c>
      <c r="I7" s="17">
        <f t="shared" si="2"/>
        <v>534261.86550195643</v>
      </c>
    </row>
    <row r="8" spans="1:9" ht="15.75" customHeight="1" x14ac:dyDescent="0.25">
      <c r="A8" s="5">
        <f t="shared" si="3"/>
        <v>2027</v>
      </c>
      <c r="B8" s="49">
        <v>59076.408000000003</v>
      </c>
      <c r="C8" s="50">
        <v>119000</v>
      </c>
      <c r="D8" s="50">
        <v>192000</v>
      </c>
      <c r="E8" s="50">
        <v>168000</v>
      </c>
      <c r="F8" s="50">
        <v>134000</v>
      </c>
      <c r="G8" s="17">
        <f t="shared" si="0"/>
        <v>613000</v>
      </c>
      <c r="H8" s="17">
        <f t="shared" si="1"/>
        <v>68071.729297721336</v>
      </c>
      <c r="I8" s="17">
        <f t="shared" si="2"/>
        <v>544928.27070227871</v>
      </c>
    </row>
    <row r="9" spans="1:9" ht="15.75" customHeight="1" x14ac:dyDescent="0.25">
      <c r="A9" s="5">
        <f t="shared" si="3"/>
        <v>2028</v>
      </c>
      <c r="B9" s="49">
        <v>59312.748800000001</v>
      </c>
      <c r="C9" s="50">
        <v>123000</v>
      </c>
      <c r="D9" s="50">
        <v>196000</v>
      </c>
      <c r="E9" s="50">
        <v>170000</v>
      </c>
      <c r="F9" s="50">
        <v>138000</v>
      </c>
      <c r="G9" s="17">
        <f t="shared" si="0"/>
        <v>627000</v>
      </c>
      <c r="H9" s="17">
        <f t="shared" si="1"/>
        <v>68344.056737798717</v>
      </c>
      <c r="I9" s="17">
        <f t="shared" si="2"/>
        <v>558655.94326220127</v>
      </c>
    </row>
    <row r="10" spans="1:9" ht="15.75" customHeight="1" x14ac:dyDescent="0.25">
      <c r="A10" s="5">
        <f t="shared" si="3"/>
        <v>2029</v>
      </c>
      <c r="B10" s="49">
        <v>59543.6204</v>
      </c>
      <c r="C10" s="50">
        <v>127000</v>
      </c>
      <c r="D10" s="50">
        <v>202000</v>
      </c>
      <c r="E10" s="50">
        <v>171000</v>
      </c>
      <c r="F10" s="50">
        <v>142000</v>
      </c>
      <c r="G10" s="17">
        <f t="shared" si="0"/>
        <v>642000</v>
      </c>
      <c r="H10" s="17">
        <f t="shared" si="1"/>
        <v>68610.082205320912</v>
      </c>
      <c r="I10" s="17">
        <f t="shared" si="2"/>
        <v>573389.91779467906</v>
      </c>
    </row>
    <row r="11" spans="1:9" ht="15.75" customHeight="1" x14ac:dyDescent="0.25">
      <c r="A11" s="5">
        <f t="shared" si="3"/>
        <v>2030</v>
      </c>
      <c r="B11" s="49">
        <v>59745.008000000002</v>
      </c>
      <c r="C11" s="50">
        <v>130000</v>
      </c>
      <c r="D11" s="50">
        <v>207000</v>
      </c>
      <c r="E11" s="50">
        <v>172000</v>
      </c>
      <c r="F11" s="50">
        <v>146000</v>
      </c>
      <c r="G11" s="17">
        <f t="shared" si="0"/>
        <v>655000</v>
      </c>
      <c r="H11" s="17">
        <f t="shared" si="1"/>
        <v>68842.134265614048</v>
      </c>
      <c r="I11" s="17">
        <f t="shared" si="2"/>
        <v>586157.86573438591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dEScPIilvpOP4LWL75v/DBigJLsGybQEtVwu91BgNsQWVoMkp/qhfwcyo0KIdoAGbqZ04LNwfU2BtGtg/XyPKQ==" saltValue="rctpbw+xXpY2To0EcwNu5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109</v>
      </c>
      <c r="C5" s="8" t="s">
        <v>153</v>
      </c>
      <c r="D5" s="88">
        <f>IF(ISBLANK('Dist. l''allaitement maternel'!$C$2),1.56,(1.56-'Dist. l''allaitement maternel'!$C$2)/(1-'Dist. l''allaitement maternel'!$C$2))</f>
        <v>1.6284638692586528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154</v>
      </c>
      <c r="D6" s="88">
        <f>IF(ISBLANK('Dist. l''allaitement maternel'!$C$2),1.56,(1.56-'Dist. l''allaitement maternel'!$C$2)/(1-'Dist. l''allaitement maternel'!$C$2))</f>
        <v>1.6284638692586528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96</v>
      </c>
      <c r="C8" s="8" t="s">
        <v>153</v>
      </c>
      <c r="D8" s="88">
        <v>1</v>
      </c>
      <c r="E8" s="88">
        <f>IF(ISBLANK('Dist. l''allaitement maternel'!$D$2),1.56,(1.56-'Dist. l''allaitement maternel'!$D$2)/(1-'Dist. l''allaitement maternel'!$D$2))</f>
        <v>1.5864580797251222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154</v>
      </c>
      <c r="D9" s="88">
        <v>1</v>
      </c>
      <c r="E9" s="88">
        <f>IF(ISBLANK('Dist. l''allaitement maternel'!$D$2),1.56,(1.56-'Dist. l''allaitement maternel'!$D$2)/(1-'Dist. l''allaitement maternel'!$D$2))</f>
        <v>1.5864580797251222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IF(ISBLANK('Dist. l''allaitement maternel'!$C$2),1.37,(1.37-'Dist. l''allaitement maternel'!$C$2)/(1-'Dist. l''allaitement maternel'!$C$2))</f>
        <v>1.4152350564744671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IF(ISBLANK('Dist. l''allaitement maternel'!$C$2),1.37,(1.37-'Dist. l''allaitement maternel'!$C$2)/(1-'Dist. l''allaitement maternel'!$C$2))</f>
        <v>1.4152350564744671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IF(ISBLANK('Dist. l''allaitement maternel'!$D$2),1.37,(1.37-'Dist. l''allaitement maternel'!$D$2)/(1-'Dist. l''allaitement maternel'!$D$2))</f>
        <v>1.3874812312469558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IF(ISBLANK('Dist. l''allaitement maternel'!$D$2),1.37,(1.37-'Dist. l''allaitement maternel'!$D$2)/(1-'Dist. l''allaitement maternel'!$D$2))</f>
        <v>1.3874812312469558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IF(ISBLANK('Dist. l''allaitement maternel'!$C$2),1.77,(1.77-'Dist. l''allaitement maternel'!$C$2)/(1-'Dist. l''allaitement maternel'!$C$2))</f>
        <v>1.8641378202306476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IF(ISBLANK('Dist. l''allaitement maternel'!$C$2),1.77,(1.77-'Dist. l''allaitement maternel'!$C$2)/(1-'Dist. l''allaitement maternel'!$C$2))</f>
        <v>1.8641378202306476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IF(ISBLANK('Dist. l''allaitement maternel'!$D$2),1.77,(1.77-'Dist. l''allaitement maternel'!$D$2)/(1-'Dist. l''allaitement maternel'!$D$2))</f>
        <v>1.8063798596220428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IF(ISBLANK('Dist. l''allaitement maternel'!$D$2),1.77,(1.77-'Dist. l''allaitement maternel'!$D$2)/(1-'Dist. l''allaitement maternel'!$D$2))</f>
        <v>1.8063798596220428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Ni6Wai0TITDDYuCcmW9N483oum8JKFDD79LB6Na4Phzeq0wvnIQZXS/yLa2OuPTm2ouJEUEkw7keCRMMkXvaCg==" saltValue="erR4fCDH0ZKga0c+4ig39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EFjgNWtc5gEWctwDq7iWWEIt07CAGb/q6C+vRdc4JKhA2Ros9HEVry0vacY1yPtvOjSZW3d6G8qAZxc5ugLLoA==" saltValue="3qRrtIn/EeDxImg3HM05T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wdAQwZnVFyIOPwVIhh05yL6YhY9Bo77/KUaO6xdbBj9JaUzTZMAj8t3w9rYRUml5KNA6RNPeRQx8jz7QNR2uWQ==" saltValue="FDAoOGOrkf8mpkA3CRNf2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0.61256351515414387</v>
      </c>
      <c r="F6" s="90">
        <f>IF(ISBLANK('Dist. de l''état nutritionnel'!$E$4),0.64, (0.64*SUM('Dist. de l''état nutritionnel'!$E$4:$E$5)/(1-0.64*SUM('Dist. de l''état nutritionnel'!$E$4:$E$5)))/ (SUM('Dist. de l''état nutritionnel'!$E$4:$E$5)/(1-SUM('Dist. de l''état nutritionnel'!$E$4:$E$5))))</f>
        <v>0.61256351515414387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0.86705498002441017</v>
      </c>
      <c r="F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0.86705498002441017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0.86705498002441017</v>
      </c>
      <c r="F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0.86705498002441017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0.41134076335232889</v>
      </c>
      <c r="F29" s="90">
        <f>IF(ISBLANK('Dist. de l''état nutritionnel'!$E$4),0.44, (0.44*SUM('Dist. de l''état nutritionnel'!$E$4:$E$5)/(1-0.44*SUM('Dist. de l''état nutritionnel'!$E$4:$E$5)))/ (SUM('Dist. de l''état nutritionnel'!$E$4:$E$5)/(1-SUM('Dist. de l''état nutritionnel'!$E$4:$E$5))))</f>
        <v>0.41134076335232889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0.83442762777648971</v>
      </c>
      <c r="F30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0.83442762777648971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0.83442762777648971</v>
      </c>
      <c r="F31" s="90">
        <f>IF(ISBLANK('Dist. de l''état nutritionnel'!$E$4),0.85, (0.85*SUM('Dist. de l''état nutritionnel'!$E$4:$E$5)/(1-0.85*SUM('Dist. de l''état nutritionnel'!$E$4:$E$5)))/ (SUM('Dist. de l''état nutritionnel'!$E$4:$E$5)/(1-SUM('Dist. de l''état nutritionnel'!$E$4:$E$5))))</f>
        <v>0.83442762777648971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0.91093325532347114</v>
      </c>
      <c r="F52" s="90">
        <f>IF(ISBLANK('Dist. de l''état nutritionnel'!$E$4),0.92, (0.92*SUM('Dist. de l''état nutritionnel'!$E$4:$E$5)/(1-0.92*SUM('Dist. de l''état nutritionnel'!$E$4:$E$5)))/ (SUM('Dist. de l''état nutritionnel'!$E$4:$E$5)/(1-SUM('Dist. de l''état nutritionnel'!$E$4:$E$5))))</f>
        <v>0.91093325532347114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0.89992319631866335</v>
      </c>
      <c r="F53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0.89992319631866335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0.89992319631866335</v>
      </c>
      <c r="F54" s="90">
        <f>IF(ISBLANK('Dist. de l''état nutritionnel'!$E$4),0.91, (0.91*SUM('Dist. de l''état nutritionnel'!$E$4:$E$5)/(1-0.91*SUM('Dist. de l''état nutritionnel'!$E$4:$E$5)))/ (SUM('Dist. de l''état nutritionnel'!$E$4:$E$5)/(1-SUM('Dist. de l''état nutritionnel'!$E$4:$E$5))))</f>
        <v>0.89992319631866335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36mWPDHd4ykYGCeq2nWSfVYV/EQ0Iu3Zr5sfrrXZoOYvpBlUppIwi/baqs9VxLMSqpeiK2XDLmsLEF891BR0mA==" saltValue="D/0Xwvs05OM5ZSibDIKm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NlVNH2CZhqttEqTp2QVRPbDoL7bcyeu3AgT7B86n2K+yI3G/R2HbfneD8zYiTiOhmqR6Bf749qSOLqztq9GBKw==" saltValue="OijcbHl0/nLAuBVvHTM1w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0.38314099348172959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0.50357484834436539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0.50357484834436539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0.50326426341186492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0.50326426341186492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0.50326426341186492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0.50326426341186492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0.51382136407834422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0.51382136407834422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0.51382136407834422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0.51382136407834422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0.49139967823971026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0.61209627131396727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0.61209627131396727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0.61180124223602494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0.61180124223602494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0.61180124223602494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0.61180124223602494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0.62178517397882016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0.62178517397882016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0.62178517397882016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0.62178517397882016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177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179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180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181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182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185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186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189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190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205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174</v>
      </c>
      <c r="C42" s="90">
        <f t="shared" ref="C42:D44" si="14">IF(C19=1,1,C19*0.9)</f>
        <v>1</v>
      </c>
      <c r="D42" s="90">
        <f t="shared" si="14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0.22091254753183745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0.31651819189816099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0.31651819189816099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0.31624947975503903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0.31624947975503903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0.31624947975503903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0.31624947975503903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0.32545385224506562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0.32545385224506562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0.32545385224506562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0.32545385224506562</v>
      </c>
    </row>
    <row r="43" spans="1:15" x14ac:dyDescent="0.25">
      <c r="B43" s="5" t="s">
        <v>175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183</v>
      </c>
      <c r="C44" s="90">
        <f t="shared" si="14"/>
        <v>1</v>
      </c>
      <c r="D44" s="90">
        <f t="shared" si="14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0.36045239104910837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0.47929581782869968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0.47929581782869968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0.47898575894407774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0.47898575894407774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0.47898575894407774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0.47898575894407774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0.48953547728432856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0.48953547728432856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0.48953547728432856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0.48953547728432856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176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177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178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179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180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181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182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185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186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189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190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205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174</v>
      </c>
      <c r="C65" s="90">
        <f t="shared" ref="C65:D67" si="30">IF(C19=1,1,C19*1.05)</f>
        <v>1</v>
      </c>
      <c r="D65" s="90">
        <f t="shared" si="3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0.88649208715947281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0.92730006503936324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0.92730006503936324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0.92721626473870655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0.92721626473870655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0.92721626473870655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0.92721626473870655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0.93001609629785154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0.93001609629785154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0.93001609629785154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0.93001609629785154</v>
      </c>
    </row>
    <row r="66" spans="2:15" x14ac:dyDescent="0.25">
      <c r="B66" s="5" t="s">
        <v>175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183</v>
      </c>
      <c r="C67" s="90">
        <f t="shared" si="30"/>
        <v>1</v>
      </c>
      <c r="D67" s="90">
        <f t="shared" si="3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0.73529348437557762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0.81938480741795228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0.81938480741795228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0.81920086783583457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0.81920086783583457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0.81920086783583457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0.81920086783583457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0.82537326464681748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0.82537326464681748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0.82537326464681748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0.82537326464681748</v>
      </c>
    </row>
  </sheetData>
  <sheetProtection algorithmName="SHA-512" hashValue="k+8Isdg7JAUWijgxPAAuxyrm43zy/tXb2I4IjFUIGSnniTjQW51c1HS22GgwA+1qRtmGlLlsy0ap639+K9iZyg==" saltValue="oFFbo+yWLOtzrEMgOxN7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x14ac:dyDescent="0.25">
      <c r="B3" s="11" t="s">
        <v>161</v>
      </c>
      <c r="C3" s="90">
        <v>1</v>
      </c>
      <c r="D3" s="90">
        <f>IF(ISBLANK('Dist. de l''état nutritionnel'!D$11),0.86,(0.86*'Dist. de l''état nutritionnel'!D$11/(1-0.86*'Dist. de l''état nutritionnel'!D$11))
/ ('Dist. de l''état nutritionnel'!D$11/(1-'Dist. de l''état nutritionnel'!D$11)))</f>
        <v>0.85754329935676132</v>
      </c>
      <c r="E3" s="90">
        <f>IF(ISBLANK('Dist. de l''état nutritionnel'!E$11),0.86,(0.86*'Dist. de l''état nutritionnel'!E$11/(1-0.86*'Dist. de l''état nutritionnel'!E$11))
/ ('Dist. de l''état nutritionnel'!E$11/(1-'Dist. de l''état nutritionnel'!E$11)))</f>
        <v>0.85688289242771853</v>
      </c>
      <c r="F3" s="90">
        <f>IF(ISBLANK('Dist. de l''état nutritionnel'!F$11),0.86,(0.86*'Dist. de l''état nutritionnel'!F$11/(1-0.86*'Dist. de l''état nutritionnel'!F$11))
/ ('Dist. de l''état nutritionnel'!F$11/(1-'Dist. de l''état nutritionnel'!F$11)))</f>
        <v>0.85836603122876254</v>
      </c>
      <c r="G3" s="90">
        <f>IF(ISBLANK('Dist. de l''état nutritionnel'!G$11),0.86,(0.86*'Dist. de l''état nutritionnel'!G$11/(1-0.86*'Dist. de l''état nutritionnel'!G$11))
/ ('Dist. de l''état nutritionnel'!G$11/(1-'Dist. de l''état nutritionnel'!G$11)))</f>
        <v>0.8588408734848394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x14ac:dyDescent="0.25">
      <c r="B5" s="5" t="s">
        <v>165</v>
      </c>
      <c r="C5" s="90">
        <v>1</v>
      </c>
      <c r="D5" s="90">
        <f>IF(ISBLANK('Dist. de l''état nutritionnel'!D$10),0.86,(0.86*'Dist. de l''état nutritionnel'!D$10/(1-0.86*'Dist. de l''état nutritionnel'!D$10))
/ ('Dist. de l''état nutritionnel'!D$10/(1-'Dist. de l''état nutritionnel'!D$10)))</f>
        <v>0.85540345217115366</v>
      </c>
      <c r="E5" s="90">
        <f>IF(ISBLANK('Dist. de l''état nutritionnel'!E$10),0.86,(0.86*'Dist. de l''état nutritionnel'!E$10/(1-0.86*'Dist. de l''état nutritionnel'!E$10))
/ ('Dist. de l''état nutritionnel'!E$10/(1-'Dist. de l''état nutritionnel'!E$10)))</f>
        <v>0.85593572205017887</v>
      </c>
      <c r="F5" s="90">
        <f>IF(ISBLANK('Dist. de l''état nutritionnel'!F$10),0.86,(0.86*'Dist. de l''état nutritionnel'!F$10/(1-0.86*'Dist. de l''état nutritionnel'!F$10))
/ ('Dist. de l''état nutritionnel'!F$10/(1-'Dist. de l''état nutritionnel'!F$10)))</f>
        <v>0.85866732695603032</v>
      </c>
      <c r="G5" s="90">
        <f>IF(ISBLANK('Dist. de l''état nutritionnel'!G$10),0.86,(0.86*'Dist. de l''état nutritionnel'!G$10/(1-0.86*'Dist. de l''état nutritionnel'!G$10))
/ ('Dist. de l''état nutritionnel'!G$10/(1-'Dist. de l''état nutritionnel'!G$10)))</f>
        <v>0.85752621907050663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x14ac:dyDescent="0.25">
      <c r="B10" s="11" t="s">
        <v>161</v>
      </c>
      <c r="C10" s="90">
        <f>C3*0.9</f>
        <v>0.9</v>
      </c>
      <c r="D10" s="90">
        <f>D3*0.9</f>
        <v>0.77178896942108521</v>
      </c>
      <c r="E10" s="90">
        <f>E3*0.9</f>
        <v>0.7711946031849467</v>
      </c>
      <c r="F10" s="90">
        <f>F3*0.9</f>
        <v>0.77252942810588632</v>
      </c>
      <c r="G10" s="90">
        <f>G3*0.9</f>
        <v>0.77295678613635543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x14ac:dyDescent="0.25">
      <c r="B12" s="5" t="s">
        <v>165</v>
      </c>
      <c r="C12" s="90">
        <f>C5*0.9</f>
        <v>0.9</v>
      </c>
      <c r="D12" s="90">
        <f>D5*0.9</f>
        <v>0.76986310695403826</v>
      </c>
      <c r="E12" s="90">
        <f>E5*0.9</f>
        <v>0.77034214984516103</v>
      </c>
      <c r="F12" s="90">
        <f>F5*0.9</f>
        <v>0.77280059426042735</v>
      </c>
      <c r="G12" s="90">
        <f>G5*0.9</f>
        <v>0.77177359716345595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x14ac:dyDescent="0.25">
      <c r="B17" s="11" t="s">
        <v>161</v>
      </c>
      <c r="C17" s="90">
        <f>C3*1.05</f>
        <v>1.05</v>
      </c>
      <c r="D17" s="90">
        <f>D3*1.05</f>
        <v>0.90042046432459943</v>
      </c>
      <c r="E17" s="90">
        <f>E3*1.05</f>
        <v>0.89972703704910451</v>
      </c>
      <c r="F17" s="90">
        <f>F3*1.05</f>
        <v>0.9012843327902007</v>
      </c>
      <c r="G17" s="90">
        <f>G3*1.05</f>
        <v>0.90178291715908143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x14ac:dyDescent="0.25">
      <c r="B19" s="5" t="s">
        <v>165</v>
      </c>
      <c r="C19" s="90">
        <f>C5*1.05</f>
        <v>1.05</v>
      </c>
      <c r="D19" s="90">
        <f>D5*1.05</f>
        <v>0.89817362477971141</v>
      </c>
      <c r="E19" s="90">
        <f>E5*1.05</f>
        <v>0.8987325081526879</v>
      </c>
      <c r="F19" s="90">
        <f>F5*1.05</f>
        <v>0.90160069330383186</v>
      </c>
      <c r="G19" s="90">
        <f>G5*1.05</f>
        <v>0.90040253002403203</v>
      </c>
    </row>
  </sheetData>
  <sheetProtection algorithmName="SHA-512" hashValue="0ypJN89VDhRoOXSCbGNsagL8AIYqTu/bGnYINSAWrzAeTVubmWTy5RX5KmbXdce3ZaGxK51qtpo+/ZlbU4uDGw==" saltValue="xcOsMp1C6+lwussZv7gi5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335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336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336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336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336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336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335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336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335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336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336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205</v>
      </c>
      <c r="B68" s="5" t="s">
        <v>208</v>
      </c>
      <c r="C68" s="5" t="s">
        <v>334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336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335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335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335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335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336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335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336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335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336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335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336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335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336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335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336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88</v>
      </c>
      <c r="C100" s="5" t="s">
        <v>334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335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336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335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335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335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335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336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336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209</v>
      </c>
      <c r="C117" s="5" t="s">
        <v>334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336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336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209</v>
      </c>
      <c r="C121" s="5" t="s">
        <v>334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336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336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336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335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335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335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335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336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335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336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335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336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335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336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335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336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335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336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88</v>
      </c>
      <c r="C155" s="5" t="s">
        <v>334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335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336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335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335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335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+tEAfpT4GCohyd0XMOzUda84CiDTqNXdr4JuQ+lC5GqnGBO5CkL3dB0L5/KSup7INE+cp71Z98BCCJRCbZ830g==" saltValue="wAezbsROka9Exx9HQDP++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335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5">
      <c r="A11" s="3" t="s">
        <v>169</v>
      </c>
      <c r="B11" s="8" t="s">
        <v>104</v>
      </c>
      <c r="C11" s="3" t="s">
        <v>334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335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188</v>
      </c>
      <c r="B13" s="8" t="s">
        <v>104</v>
      </c>
      <c r="C13" s="3" t="s">
        <v>334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5">
      <c r="A20" s="3" t="s">
        <v>169</v>
      </c>
      <c r="B20" s="8" t="s">
        <v>104</v>
      </c>
      <c r="C20" s="3" t="s">
        <v>334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335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188</v>
      </c>
      <c r="B22" s="8" t="s">
        <v>104</v>
      </c>
      <c r="C22" s="3" t="s">
        <v>334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187</v>
      </c>
      <c r="B24" s="8" t="s">
        <v>104</v>
      </c>
      <c r="C24" s="3" t="s">
        <v>334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HqDuc/+Ss0ny2grTvdoFRmC3MFL+fUB78fQrUpyPJ7Wv2P70yzjoj/jV5KBpZPw5g/482DI072VlmvbeF+m53A==" saltValue="tzOPOPAt/4FWjz3XDbvbJ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4.2190205994141663E-3</v>
      </c>
    </row>
    <row r="4" spans="1:8" ht="15.75" customHeight="1" x14ac:dyDescent="0.25">
      <c r="B4" s="19" t="s">
        <v>79</v>
      </c>
      <c r="C4" s="101">
        <v>0.14695953205628501</v>
      </c>
    </row>
    <row r="5" spans="1:8" ht="15.75" customHeight="1" x14ac:dyDescent="0.25">
      <c r="B5" s="19" t="s">
        <v>80</v>
      </c>
      <c r="C5" s="101">
        <v>6.1942013870327717E-2</v>
      </c>
    </row>
    <row r="6" spans="1:8" ht="15.75" customHeight="1" x14ac:dyDescent="0.25">
      <c r="B6" s="19" t="s">
        <v>81</v>
      </c>
      <c r="C6" s="101">
        <v>0.24871256471151901</v>
      </c>
    </row>
    <row r="7" spans="1:8" ht="15.75" customHeight="1" x14ac:dyDescent="0.25">
      <c r="B7" s="19" t="s">
        <v>82</v>
      </c>
      <c r="C7" s="101">
        <v>0.34225714943392849</v>
      </c>
    </row>
    <row r="8" spans="1:8" ht="15.75" customHeight="1" x14ac:dyDescent="0.25">
      <c r="B8" s="19" t="s">
        <v>83</v>
      </c>
      <c r="C8" s="101">
        <v>4.9314887693846197E-3</v>
      </c>
    </row>
    <row r="9" spans="1:8" ht="15.75" customHeight="1" x14ac:dyDescent="0.25">
      <c r="B9" s="19" t="s">
        <v>84</v>
      </c>
      <c r="C9" s="101">
        <v>0.12452946715978409</v>
      </c>
    </row>
    <row r="10" spans="1:8" ht="15.75" customHeight="1" x14ac:dyDescent="0.25">
      <c r="B10" s="19" t="s">
        <v>85</v>
      </c>
      <c r="C10" s="101">
        <v>6.6448763399357E-2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9.433197238029116E-2</v>
      </c>
      <c r="D14" s="55">
        <v>9.433197238029116E-2</v>
      </c>
      <c r="E14" s="55">
        <v>9.433197238029116E-2</v>
      </c>
      <c r="F14" s="55">
        <v>9.433197238029116E-2</v>
      </c>
    </row>
    <row r="15" spans="1:8" ht="15.75" customHeight="1" x14ac:dyDescent="0.25">
      <c r="B15" s="19" t="s">
        <v>88</v>
      </c>
      <c r="C15" s="101">
        <v>0.17638387581217879</v>
      </c>
      <c r="D15" s="101">
        <v>0.17638387581217879</v>
      </c>
      <c r="E15" s="101">
        <v>0.17638387581217879</v>
      </c>
      <c r="F15" s="101">
        <v>0.17638387581217879</v>
      </c>
    </row>
    <row r="16" spans="1:8" ht="15.75" customHeight="1" x14ac:dyDescent="0.25">
      <c r="B16" s="19" t="s">
        <v>89</v>
      </c>
      <c r="C16" s="101">
        <v>1.4047129901747561E-2</v>
      </c>
      <c r="D16" s="101">
        <v>1.4047129901747561E-2</v>
      </c>
      <c r="E16" s="101">
        <v>1.4047129901747561E-2</v>
      </c>
      <c r="F16" s="101">
        <v>1.4047129901747561E-2</v>
      </c>
    </row>
    <row r="17" spans="1:8" ht="15.75" customHeight="1" x14ac:dyDescent="0.25">
      <c r="B17" s="19" t="s">
        <v>90</v>
      </c>
      <c r="C17" s="101">
        <v>0.1547387636379208</v>
      </c>
      <c r="D17" s="101">
        <v>0.1547387636379208</v>
      </c>
      <c r="E17" s="101">
        <v>0.1547387636379208</v>
      </c>
      <c r="F17" s="101">
        <v>0.1547387636379208</v>
      </c>
    </row>
    <row r="18" spans="1:8" ht="15.75" customHeight="1" x14ac:dyDescent="0.25">
      <c r="B18" s="19" t="s">
        <v>91</v>
      </c>
      <c r="C18" s="101">
        <v>0.1055424114452967</v>
      </c>
      <c r="D18" s="101">
        <v>0.1055424114452967</v>
      </c>
      <c r="E18" s="101">
        <v>0.1055424114452967</v>
      </c>
      <c r="F18" s="101">
        <v>0.1055424114452967</v>
      </c>
    </row>
    <row r="19" spans="1:8" ht="15.75" customHeight="1" x14ac:dyDescent="0.25">
      <c r="B19" s="19" t="s">
        <v>92</v>
      </c>
      <c r="C19" s="101">
        <v>3.1205272842218051E-2</v>
      </c>
      <c r="D19" s="101">
        <v>3.1205272842218051E-2</v>
      </c>
      <c r="E19" s="101">
        <v>3.1205272842218051E-2</v>
      </c>
      <c r="F19" s="101">
        <v>3.1205272842218051E-2</v>
      </c>
    </row>
    <row r="20" spans="1:8" ht="15.75" customHeight="1" x14ac:dyDescent="0.25">
      <c r="B20" s="19" t="s">
        <v>93</v>
      </c>
      <c r="C20" s="101">
        <v>9.7707050845416588E-2</v>
      </c>
      <c r="D20" s="101">
        <v>9.7707050845416588E-2</v>
      </c>
      <c r="E20" s="101">
        <v>9.7707050845416588E-2</v>
      </c>
      <c r="F20" s="101">
        <v>9.7707050845416588E-2</v>
      </c>
    </row>
    <row r="21" spans="1:8" ht="15.75" customHeight="1" x14ac:dyDescent="0.25">
      <c r="B21" s="19" t="s">
        <v>94</v>
      </c>
      <c r="C21" s="101">
        <v>7.6726300179187343E-2</v>
      </c>
      <c r="D21" s="101">
        <v>7.6726300179187343E-2</v>
      </c>
      <c r="E21" s="101">
        <v>7.6726300179187343E-2</v>
      </c>
      <c r="F21" s="101">
        <v>7.6726300179187343E-2</v>
      </c>
    </row>
    <row r="22" spans="1:8" ht="15.75" customHeight="1" x14ac:dyDescent="0.25">
      <c r="B22" s="19" t="s">
        <v>95</v>
      </c>
      <c r="C22" s="101">
        <v>0.2493172229557431</v>
      </c>
      <c r="D22" s="101">
        <v>0.2493172229557431</v>
      </c>
      <c r="E22" s="101">
        <v>0.2493172229557431</v>
      </c>
      <c r="F22" s="101">
        <v>0.2493172229557431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9.5711987999999998E-2</v>
      </c>
    </row>
    <row r="27" spans="1:8" ht="15.75" customHeight="1" x14ac:dyDescent="0.25">
      <c r="B27" s="19" t="s">
        <v>102</v>
      </c>
      <c r="C27" s="101">
        <v>4.2970438999999999E-2</v>
      </c>
    </row>
    <row r="28" spans="1:8" ht="15.75" customHeight="1" x14ac:dyDescent="0.25">
      <c r="B28" s="19" t="s">
        <v>103</v>
      </c>
      <c r="C28" s="101">
        <v>0.19642078600000001</v>
      </c>
    </row>
    <row r="29" spans="1:8" ht="15.75" customHeight="1" x14ac:dyDescent="0.25">
      <c r="B29" s="19" t="s">
        <v>104</v>
      </c>
      <c r="C29" s="101">
        <v>0.206894785</v>
      </c>
    </row>
    <row r="30" spans="1:8" ht="15.75" customHeight="1" x14ac:dyDescent="0.25">
      <c r="B30" s="19" t="s">
        <v>2</v>
      </c>
      <c r="C30" s="101">
        <v>2.7698743000000001E-2</v>
      </c>
    </row>
    <row r="31" spans="1:8" ht="15.75" customHeight="1" x14ac:dyDescent="0.25">
      <c r="B31" s="19" t="s">
        <v>105</v>
      </c>
      <c r="C31" s="101">
        <v>0.20935653800000001</v>
      </c>
    </row>
    <row r="32" spans="1:8" ht="15.75" customHeight="1" x14ac:dyDescent="0.25">
      <c r="B32" s="19" t="s">
        <v>106</v>
      </c>
      <c r="C32" s="101">
        <v>1.2451637999999999E-2</v>
      </c>
    </row>
    <row r="33" spans="2:3" ht="15.75" customHeight="1" x14ac:dyDescent="0.25">
      <c r="B33" s="19" t="s">
        <v>107</v>
      </c>
      <c r="C33" s="101">
        <v>5.1474696E-2</v>
      </c>
    </row>
    <row r="34" spans="2:3" ht="15.75" customHeight="1" x14ac:dyDescent="0.25">
      <c r="B34" s="19" t="s">
        <v>108</v>
      </c>
      <c r="C34" s="101">
        <v>0.15702038800000001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3qbTXI61rqNdruIVMa/yUrbWDNZ/HplS7CRfikpRqoTcYa5h8g/XNWNO6N7Cgu79WAZs+zVmWXpRiB8W+erUkQ==" saltValue="2QJ1oPEh1Qh52Kh5MpjiQ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0.58559253527965982</v>
      </c>
      <c r="D2" s="52">
        <f>IFERROR(1-_xlfn.NORM.DIST(_xlfn.NORM.INV(SUM(D4:D5), 0, 1) + 1, 0, 1, TRUE), "")</f>
        <v>0.58559253527965982</v>
      </c>
      <c r="E2" s="52">
        <f>IFERROR(1-_xlfn.NORM.DIST(_xlfn.NORM.INV(SUM(E4:E5), 0, 1) + 1, 0, 1, TRUE), "")</f>
        <v>0.58826464980394688</v>
      </c>
      <c r="F2" s="52">
        <f>IFERROR(1-_xlfn.NORM.DIST(_xlfn.NORM.INV(SUM(F4:F5), 0, 1) + 1, 0, 1, TRUE), "")</f>
        <v>0.43649645298710127</v>
      </c>
      <c r="G2" s="52">
        <f>IFERROR(1-_xlfn.NORM.DIST(_xlfn.NORM.INV(SUM(G4:G5), 0, 1) + 1, 0, 1, TRUE), "")</f>
        <v>0.4637067538212758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0.30245722741636794</v>
      </c>
      <c r="D3" s="52">
        <f>IFERROR(_xlfn.NORM.DIST(_xlfn.NORM.INV(SUM(D4:D5), 0, 1) + 1, 0, 1, TRUE) - SUM(D4:D5), "")</f>
        <v>0.30245722741636794</v>
      </c>
      <c r="E3" s="52">
        <f>IFERROR(_xlfn.NORM.DIST(_xlfn.NORM.INV(SUM(E4:E5), 0, 1) + 1, 0, 1, TRUE) - SUM(E4:E5), "")</f>
        <v>0.30108622640817312</v>
      </c>
      <c r="F3" s="52">
        <f>IFERROR(_xlfn.NORM.DIST(_xlfn.NORM.INV(SUM(F4:F5), 0, 1) + 1, 0, 1, TRUE) - SUM(F4:F5), "")</f>
        <v>0.36308915019044663</v>
      </c>
      <c r="G3" s="52">
        <f>IFERROR(_xlfn.NORM.DIST(_xlfn.NORM.INV(SUM(G4:G5), 0, 1) + 1, 0, 1, TRUE) - SUM(G4:G5), "")</f>
        <v>0.35459191384802102</v>
      </c>
    </row>
    <row r="4" spans="1:15" ht="15.75" customHeight="1" x14ac:dyDescent="0.25">
      <c r="B4" s="5" t="s">
        <v>114</v>
      </c>
      <c r="C4" s="45">
        <v>5.3857188671827302E-2</v>
      </c>
      <c r="D4" s="53">
        <v>5.3857188671827302E-2</v>
      </c>
      <c r="E4" s="53">
        <v>7.6917156577110304E-2</v>
      </c>
      <c r="F4" s="53">
        <v>0.13323393464088401</v>
      </c>
      <c r="G4" s="53">
        <v>0.118883572518825</v>
      </c>
    </row>
    <row r="5" spans="1:15" ht="15.75" customHeight="1" x14ac:dyDescent="0.25">
      <c r="B5" s="5" t="s">
        <v>115</v>
      </c>
      <c r="C5" s="45">
        <v>5.80930486321449E-2</v>
      </c>
      <c r="D5" s="53">
        <v>5.80930486321449E-2</v>
      </c>
      <c r="E5" s="53">
        <v>3.3731967210769702E-2</v>
      </c>
      <c r="F5" s="53">
        <v>6.7180462181568104E-2</v>
      </c>
      <c r="G5" s="53">
        <v>6.2817759811878204E-2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0.71915203226515279</v>
      </c>
      <c r="D8" s="52">
        <f>IFERROR(1-_xlfn.NORM.DIST(_xlfn.NORM.INV(SUM(D10:D11), 0, 1) + 1, 0, 1, TRUE), "")</f>
        <v>0.71915203226515279</v>
      </c>
      <c r="E8" s="52">
        <f>IFERROR(1-_xlfn.NORM.DIST(_xlfn.NORM.INV(SUM(E10:E11), 0, 1) + 1, 0, 1, TRUE), "")</f>
        <v>0.71588774409291778</v>
      </c>
      <c r="F8" s="52">
        <f>IFERROR(1-_xlfn.NORM.DIST(_xlfn.NORM.INV(SUM(F10:F11), 0, 1) + 1, 0, 1, TRUE), "")</f>
        <v>0.83415182124235776</v>
      </c>
      <c r="G8" s="52">
        <f>IFERROR(1-_xlfn.NORM.DIST(_xlfn.NORM.INV(SUM(G10:G11), 0, 1) + 1, 0, 1, TRUE), "")</f>
        <v>0.81183010271139633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0.22383166024676338</v>
      </c>
      <c r="D9" s="52">
        <f>IFERROR(_xlfn.NORM.DIST(_xlfn.NORM.INV(SUM(D10:D11), 0, 1) + 1, 0, 1, TRUE) - SUM(D10:D11), "")</f>
        <v>0.22383166024676338</v>
      </c>
      <c r="E9" s="52">
        <f>IFERROR(_xlfn.NORM.DIST(_xlfn.NORM.INV(SUM(E10:E11), 0, 1) + 1, 0, 1, TRUE) - SUM(E10:E11), "")</f>
        <v>0.22598239768149822</v>
      </c>
      <c r="F9" s="52">
        <f>IFERROR(_xlfn.NORM.DIST(_xlfn.NORM.INV(SUM(F10:F11), 0, 1) + 1, 0, 1, TRUE) - SUM(F10:F11), "")</f>
        <v>0.14146923177531798</v>
      </c>
      <c r="G9" s="52">
        <f>IFERROR(_xlfn.NORM.DIST(_xlfn.NORM.INV(SUM(G10:G11), 0, 1) + 1, 0, 1, TRUE) - SUM(G10:G11), "")</f>
        <v>0.15843204943142641</v>
      </c>
    </row>
    <row r="10" spans="1:15" ht="15.75" customHeight="1" x14ac:dyDescent="0.25">
      <c r="B10" s="5" t="s">
        <v>119</v>
      </c>
      <c r="C10" s="45">
        <v>3.6963697522878598E-2</v>
      </c>
      <c r="D10" s="53">
        <v>3.6963697522878598E-2</v>
      </c>
      <c r="E10" s="53">
        <v>3.2804138958454097E-2</v>
      </c>
      <c r="F10" s="53">
        <v>1.0964342392981099E-2</v>
      </c>
      <c r="G10" s="53">
        <v>2.0189605653286001E-2</v>
      </c>
    </row>
    <row r="11" spans="1:15" ht="15.75" customHeight="1" x14ac:dyDescent="0.25">
      <c r="B11" s="5" t="s">
        <v>120</v>
      </c>
      <c r="C11" s="45">
        <v>2.00526099652052E-2</v>
      </c>
      <c r="D11" s="53">
        <v>2.00526099652052E-2</v>
      </c>
      <c r="E11" s="53">
        <v>2.5325719267129902E-2</v>
      </c>
      <c r="F11" s="53">
        <v>1.34146045893431E-2</v>
      </c>
      <c r="G11" s="53">
        <v>9.5482422038912999E-3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0.77009803950000011</v>
      </c>
      <c r="D14" s="54">
        <v>0.75845489217399997</v>
      </c>
      <c r="E14" s="54">
        <v>0.75845489217399997</v>
      </c>
      <c r="F14" s="54">
        <v>0.60551019102899994</v>
      </c>
      <c r="G14" s="54">
        <v>0.60551019102899994</v>
      </c>
      <c r="H14" s="45">
        <v>0.60599999999999998</v>
      </c>
      <c r="I14" s="55">
        <v>0.60599999999999998</v>
      </c>
      <c r="J14" s="55">
        <v>0.60599999999999998</v>
      </c>
      <c r="K14" s="55">
        <v>0.60599999999999998</v>
      </c>
      <c r="L14" s="45">
        <v>0.58899999999999997</v>
      </c>
      <c r="M14" s="55">
        <v>0.58899999999999997</v>
      </c>
      <c r="N14" s="55">
        <v>0.58899999999999997</v>
      </c>
      <c r="O14" s="55">
        <v>0.58899999999999997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0.31242954472318951</v>
      </c>
      <c r="D15" s="52">
        <f t="shared" si="0"/>
        <v>0.30770590820988397</v>
      </c>
      <c r="E15" s="52">
        <f t="shared" si="0"/>
        <v>0.30770590820988397</v>
      </c>
      <c r="F15" s="52">
        <f t="shared" si="0"/>
        <v>0.2456560900106563</v>
      </c>
      <c r="G15" s="52">
        <f t="shared" si="0"/>
        <v>0.2456560900106563</v>
      </c>
      <c r="H15" s="52">
        <f t="shared" si="0"/>
        <v>0.24585480599999998</v>
      </c>
      <c r="I15" s="52">
        <f t="shared" si="0"/>
        <v>0.24585480599999998</v>
      </c>
      <c r="J15" s="52">
        <f t="shared" si="0"/>
        <v>0.24585480599999998</v>
      </c>
      <c r="K15" s="52">
        <f t="shared" si="0"/>
        <v>0.24585480599999998</v>
      </c>
      <c r="L15" s="52">
        <f t="shared" si="0"/>
        <v>0.23895788899999998</v>
      </c>
      <c r="M15" s="52">
        <f t="shared" si="0"/>
        <v>0.23895788899999998</v>
      </c>
      <c r="N15" s="52">
        <f t="shared" si="0"/>
        <v>0.23895788899999998</v>
      </c>
      <c r="O15" s="52">
        <f t="shared" si="0"/>
        <v>0.23895788899999998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7zRPlbiPAjbFD4/4JQlWtI7uwWhYyT8EVmBs89E+6SKJq3W9MDpMum9+hONa1cceQAPI5P0fAWxFemZKRue6LQ==" saltValue="EjLuURRnMz8J06MtYiY5r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0.108938433229923</v>
      </c>
      <c r="D2" s="53">
        <v>4.5115040000000002E-2</v>
      </c>
      <c r="E2" s="53"/>
      <c r="F2" s="53"/>
      <c r="G2" s="53"/>
    </row>
    <row r="3" spans="1:7" x14ac:dyDescent="0.25">
      <c r="B3" s="3" t="s">
        <v>130</v>
      </c>
      <c r="C3" s="53">
        <v>0.245027080178261</v>
      </c>
      <c r="D3" s="53">
        <v>0.178646</v>
      </c>
      <c r="E3" s="53"/>
      <c r="F3" s="53"/>
      <c r="G3" s="53"/>
    </row>
    <row r="4" spans="1:7" x14ac:dyDescent="0.25">
      <c r="B4" s="3" t="s">
        <v>131</v>
      </c>
      <c r="C4" s="53">
        <v>0.57919317483902</v>
      </c>
      <c r="D4" s="53">
        <v>0.6424377</v>
      </c>
      <c r="E4" s="53">
        <v>0.67121189832687411</v>
      </c>
      <c r="F4" s="53">
        <v>0.228439301252365</v>
      </c>
      <c r="G4" s="53"/>
    </row>
    <row r="5" spans="1:7" x14ac:dyDescent="0.25">
      <c r="B5" s="3" t="s">
        <v>132</v>
      </c>
      <c r="C5" s="52">
        <v>6.6841311752796201E-2</v>
      </c>
      <c r="D5" s="52">
        <v>0.13380131125450101</v>
      </c>
      <c r="E5" s="52">
        <f>1-SUM(E2:E4)</f>
        <v>0.32878810167312589</v>
      </c>
      <c r="F5" s="52">
        <f>1-SUM(F2:F4)</f>
        <v>0.771560698747635</v>
      </c>
      <c r="G5" s="52">
        <f>1-SUM(G2:G4)</f>
        <v>1</v>
      </c>
    </row>
  </sheetData>
  <sheetProtection algorithmName="SHA-512" hashValue="y4X/sptlrU7EZalQnjmes4MdktMQF02epuHm4rgdENOtXSNxO3W7hqH3DJlLPv2dbRonsI8nOICVTruSjJ9UUw==" saltValue="FXBYkDfiwZ/7/MxlU3gDN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zYOf/oc13BhtQU80pFi7wHej6nuDiCGTCAwQfUETq3jmHY06Y0zmBd3gKtxQuu89rslTihh+z8xC7VNiy1Tyg==" saltValue="MXWnOg4ZOYV67wTRK3IZ7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x14ac:dyDescent="0.25">
      <c r="A2" s="8" t="s">
        <v>145</v>
      </c>
      <c r="B2" s="41">
        <v>10</v>
      </c>
    </row>
    <row r="3" spans="1:2" x14ac:dyDescent="0.25">
      <c r="A3" s="8" t="s">
        <v>150</v>
      </c>
      <c r="B3" s="41">
        <v>10</v>
      </c>
    </row>
    <row r="4" spans="1:2" x14ac:dyDescent="0.25">
      <c r="A4" s="8" t="s">
        <v>146</v>
      </c>
      <c r="B4" s="41">
        <v>10</v>
      </c>
    </row>
    <row r="5" spans="1:2" x14ac:dyDescent="0.25">
      <c r="A5" s="8" t="s">
        <v>147</v>
      </c>
      <c r="B5" s="41">
        <v>10</v>
      </c>
    </row>
    <row r="6" spans="1:2" x14ac:dyDescent="0.25">
      <c r="A6" s="8" t="s">
        <v>148</v>
      </c>
      <c r="B6" s="41">
        <v>10</v>
      </c>
    </row>
    <row r="7" spans="1:2" x14ac:dyDescent="0.25">
      <c r="A7" s="8" t="s">
        <v>149</v>
      </c>
      <c r="B7" s="41">
        <v>10</v>
      </c>
    </row>
  </sheetData>
  <sheetProtection algorithmName="SHA-512" hashValue="veLzhtVNLE8yH0xX+RqMGFzdBWHVySNhwbal7F/V+uSI3AQ6TM+JQl8gVy1lleuPqMJ5l/xqPWnTmihK80Lkpw==" saltValue="z3YvmldG67ZHAMVQo5Q9h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97</v>
      </c>
      <c r="C5" s="47"/>
      <c r="D5" s="47"/>
      <c r="E5" s="38" t="str">
        <f>IF(E$7="","",E$7)</f>
        <v/>
      </c>
    </row>
    <row r="6" spans="1:5" x14ac:dyDescent="0.25">
      <c r="B6" s="32" t="s">
        <v>98</v>
      </c>
      <c r="C6" s="47"/>
      <c r="D6" s="47"/>
      <c r="E6" s="38" t="str">
        <f>IF(E$7="","",E$7)</f>
        <v/>
      </c>
    </row>
    <row r="7" spans="1:5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5">
      <c r="B10" s="32" t="s">
        <v>109</v>
      </c>
      <c r="C10" s="47"/>
      <c r="D10" s="47"/>
      <c r="E10" s="38" t="str">
        <f>IF(E$7="","",E$7)</f>
        <v/>
      </c>
    </row>
    <row r="11" spans="1:5" x14ac:dyDescent="0.25">
      <c r="B11" s="32" t="s">
        <v>96</v>
      </c>
      <c r="C11" s="47"/>
      <c r="D11" s="47"/>
      <c r="E11" s="38" t="str">
        <f>IF(E$7="","",E$7)</f>
        <v/>
      </c>
    </row>
    <row r="12" spans="1:5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156</v>
      </c>
      <c r="C21" s="31"/>
      <c r="D21" s="30"/>
      <c r="E21" s="47"/>
    </row>
  </sheetData>
  <sheetProtection algorithmName="SHA-512" hashValue="mvAJ8FQKIV7y88TQGkTWU5LZ8I9YxHKy6ZM+Q42kEPrJ4h+2T1GunOhgUmYgmKiFFdi3ny1RqaOo4ODYRGy3Ag==" saltValue="+LGmD905pCPxGnt9MsluW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p3AzOGbXHSQmwHwqWb3wPHD07cR2fDE4eIsc2VoNEYz5cunHThHFxeeqW+2BFV5Wl+YvRjUAIneAA4JsY4h1kg==" saltValue="rsy/jFbdPqZQ3qPAQfq8S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2024-03-15T02:55:49Z</dcterms:modified>
</cp:coreProperties>
</file>