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6E618729-1193-4B8C-9671-50761F6C3C1D}" xr6:coauthVersionLast="47" xr6:coauthVersionMax="47" xr10:uidLastSave="{00000000-0000-0000-0000-000000000000}"/>
  <bookViews>
    <workbookView xWindow="0" yWindow="190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C17" i="26"/>
  <c r="G12" i="26"/>
  <c r="F12" i="26"/>
  <c r="C12" i="26"/>
  <c r="C10" i="26"/>
  <c r="G5" i="26"/>
  <c r="F5" i="26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23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6" i="2" s="1"/>
  <c r="C33" i="1"/>
  <c r="C20" i="1"/>
  <c r="A13" i="2" l="1"/>
  <c r="A32" i="2"/>
  <c r="A24" i="2"/>
  <c r="A31" i="2"/>
  <c r="A3" i="2"/>
  <c r="I9" i="2"/>
  <c r="A15" i="2"/>
  <c r="A37" i="2"/>
  <c r="E10" i="26"/>
  <c r="A29" i="2"/>
  <c r="A16" i="2"/>
  <c r="D17" i="26"/>
  <c r="A21" i="2"/>
  <c r="A14" i="2"/>
  <c r="A22" i="2"/>
  <c r="A30" i="2"/>
  <c r="A38" i="2"/>
  <c r="A40" i="2"/>
  <c r="F10" i="26"/>
  <c r="A17" i="2"/>
  <c r="A25" i="2"/>
  <c r="A33" i="2"/>
  <c r="G10" i="26"/>
  <c r="A18" i="2"/>
  <c r="A26" i="2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<sst xmlns="http://schemas.openxmlformats.org/spreadsheetml/2006/main" count="2092" uniqueCount="337">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</sst>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4331869.25</v>
      </c>
    </row>
    <row r="8" spans="1:3" ht="15" customHeight="1" x14ac:dyDescent="0.25">
      <c r="B8" s="5" t="s">
        <v>19</v>
      </c>
      <c r="C8" s="44">
        <v>0.13300000000000001</v>
      </c>
    </row>
    <row r="9" spans="1:3" ht="15" customHeight="1" x14ac:dyDescent="0.25">
      <c r="B9" s="5" t="s">
        <v>20</v>
      </c>
      <c r="C9" s="45">
        <v>0.98</v>
      </c>
    </row>
    <row r="10" spans="1:3" ht="15" customHeight="1" x14ac:dyDescent="0.25">
      <c r="B10" s="5" t="s">
        <v>21</v>
      </c>
      <c r="C10" s="45">
        <v>0.56591400146484405</v>
      </c>
    </row>
    <row r="11" spans="1:3" ht="15" customHeight="1" x14ac:dyDescent="0.25">
      <c r="B11" s="5" t="s">
        <v>22</v>
      </c>
      <c r="C11" s="45">
        <v>0.873</v>
      </c>
    </row>
    <row r="12" spans="1:3" ht="15" customHeight="1" x14ac:dyDescent="0.25">
      <c r="B12" s="5" t="s">
        <v>23</v>
      </c>
      <c r="C12" s="45">
        <v>0.55899999999999994</v>
      </c>
    </row>
    <row r="13" spans="1:3" ht="15" customHeight="1" x14ac:dyDescent="0.25">
      <c r="B13" s="5" t="s">
        <v>24</v>
      </c>
      <c r="C13" s="45">
        <v>0.53799999999999992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8.5699999999999998E-2</v>
      </c>
    </row>
    <row r="24" spans="1:3" ht="15" customHeight="1" x14ac:dyDescent="0.25">
      <c r="B24" s="15" t="s">
        <v>33</v>
      </c>
      <c r="C24" s="45">
        <v>0.43590000000000001</v>
      </c>
    </row>
    <row r="25" spans="1:3" ht="15" customHeight="1" x14ac:dyDescent="0.25">
      <c r="B25" s="15" t="s">
        <v>34</v>
      </c>
      <c r="C25" s="45">
        <v>0.3957</v>
      </c>
    </row>
    <row r="26" spans="1:3" ht="15" customHeight="1" x14ac:dyDescent="0.25">
      <c r="B26" s="15" t="s">
        <v>35</v>
      </c>
      <c r="C26" s="45">
        <v>8.2699999999999996E-2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0.243514515307305</v>
      </c>
    </row>
    <row r="30" spans="1:3" ht="14.25" customHeight="1" x14ac:dyDescent="0.25">
      <c r="B30" s="25" t="s">
        <v>38</v>
      </c>
      <c r="C30" s="99">
        <v>2.6882454500806501E-2</v>
      </c>
    </row>
    <row r="31" spans="1:3" ht="14.25" customHeight="1" x14ac:dyDescent="0.25">
      <c r="B31" s="25" t="s">
        <v>39</v>
      </c>
      <c r="C31" s="99">
        <v>7.1717572272151503E-2</v>
      </c>
    </row>
    <row r="32" spans="1:3" ht="14.25" customHeight="1" x14ac:dyDescent="0.25">
      <c r="B32" s="25" t="s">
        <v>40</v>
      </c>
      <c r="C32" s="99">
        <v>0.65788545791973707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23.126789520188701</v>
      </c>
    </row>
    <row r="38" spans="1:5" ht="15" customHeight="1" x14ac:dyDescent="0.25">
      <c r="B38" s="11" t="s">
        <v>45</v>
      </c>
      <c r="C38" s="43">
        <v>33.893383009395897</v>
      </c>
      <c r="D38" s="12"/>
      <c r="E38" s="13"/>
    </row>
    <row r="39" spans="1:5" ht="15" customHeight="1" x14ac:dyDescent="0.25">
      <c r="B39" s="11" t="s">
        <v>46</v>
      </c>
      <c r="C39" s="43">
        <v>46.158444616275602</v>
      </c>
      <c r="D39" s="12"/>
      <c r="E39" s="12"/>
    </row>
    <row r="40" spans="1:5" ht="15" customHeight="1" x14ac:dyDescent="0.25">
      <c r="B40" s="11" t="s">
        <v>47</v>
      </c>
      <c r="C40" s="100">
        <v>3.08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21.650280890000001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2.846E-3</v>
      </c>
      <c r="D45" s="12"/>
    </row>
    <row r="46" spans="1:5" ht="15.75" customHeight="1" x14ac:dyDescent="0.25">
      <c r="B46" s="11" t="s">
        <v>52</v>
      </c>
      <c r="C46" s="45">
        <v>6.8517300000000003E-2</v>
      </c>
      <c r="D46" s="12"/>
    </row>
    <row r="47" spans="1:5" ht="15.75" customHeight="1" x14ac:dyDescent="0.25">
      <c r="B47" s="11" t="s">
        <v>53</v>
      </c>
      <c r="C47" s="45">
        <v>0.21461089999999999</v>
      </c>
      <c r="D47" s="12"/>
      <c r="E47" s="13"/>
    </row>
    <row r="48" spans="1:5" ht="15" customHeight="1" x14ac:dyDescent="0.25">
      <c r="B48" s="11" t="s">
        <v>54</v>
      </c>
      <c r="C48" s="46">
        <v>0.71402580000000004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0.39087600000000011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0.14158809999999999</v>
      </c>
    </row>
    <row r="63" spans="1:4" ht="15.75" customHeight="1" x14ac:dyDescent="0.3">
      <c r="A63" s="4"/>
    </row>
  </sheetData>
  <sheetProtection algorithmName="SHA-512" hashValue="IyF9WeJNSz6F5fyHmy9x17YGGZ+fCMS1PQAPouUmRdSkKdzzxVCtlEruhKutfqF4mnKBaJBXNfou5fAhUgSSzw==" saltValue="3mCChhHnENfRukUJz9aC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0.47462784493402499</v>
      </c>
      <c r="C2" s="98">
        <v>0.95</v>
      </c>
      <c r="D2" s="56">
        <v>41.250418745167217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42.596134754200222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151.34610343274491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0.49482675252861508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13.61384665422082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13.61384665422082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13.61384665422082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13.61384665422082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13.61384665422082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13.61384665422082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0.57357637877784906</v>
      </c>
      <c r="C16" s="98">
        <v>0.95</v>
      </c>
      <c r="D16" s="56">
        <v>0.35308348420754659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3.568244662609394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3.568244662609394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0.23128787989999999</v>
      </c>
      <c r="C21" s="98">
        <v>0.95</v>
      </c>
      <c r="D21" s="56">
        <v>4.104467765934162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23.27165885855867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3.49738121E-3</v>
      </c>
      <c r="C23" s="98">
        <v>0.95</v>
      </c>
      <c r="D23" s="56">
        <v>4.5073761426825563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0.635880743044279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0.49907407407527599</v>
      </c>
      <c r="C27" s="98">
        <v>0.95</v>
      </c>
      <c r="D27" s="56">
        <v>19.61216024211193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0.47842659999999998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75.352499155981278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0.46828928738985037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0.38182569999999999</v>
      </c>
      <c r="C32" s="98">
        <v>0.95</v>
      </c>
      <c r="D32" s="56">
        <v>0.71468953462406237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0.18472165615109601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0.45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0.37087789999999998</v>
      </c>
      <c r="C38" s="98">
        <v>0.95</v>
      </c>
      <c r="D38" s="56">
        <v>4.1522441481000731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0.25902579999999997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v3tbY4jI8IV7MwtuhG3dxeLrJgzGUrqs7Hd8E2taWUB+ljlzr96Izjh8a5A4PTO9nvTyxfYdrGB29p3nfhzriQ==" saltValue="yWBjxl9SJ2NHNqlknfhk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FDZ6PhJ4EKOWLa5eAO/1BjtnmBpK2plhAc6iwiyIHIl7Iee1hrvVKc2PRjNefYs4Mk9ETpV1WFKq5Q7+KZrbmQ==" saltValue="6/Nuf77nukAD7jIsOTqSo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L6NUnrlz4bkpyEssIX9mTBroBiBXtjAaDgG7uchLYHKNwpfoGveUwuKsHPuT0Gowrq9OqkGudXAUhydMIAVF4Q==" saltValue="MzA9PIzjJNCxcCEgbncwK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0.23364450719999999</v>
      </c>
      <c r="C3" s="21">
        <f>frac_mam_1_5months * 2.6</f>
        <v>0.23364450719999999</v>
      </c>
      <c r="D3" s="21">
        <f>frac_mam_6_11months * 2.6</f>
        <v>0.31809310000000002</v>
      </c>
      <c r="E3" s="21">
        <f>frac_mam_12_23months * 2.6</f>
        <v>0.21848037640000001</v>
      </c>
      <c r="F3" s="21">
        <f>frac_mam_24_59months * 2.6</f>
        <v>8.5790166800000012E-2</v>
      </c>
    </row>
    <row r="4" spans="1:6" ht="15.75" customHeight="1" x14ac:dyDescent="0.25">
      <c r="A4" s="3" t="s">
        <v>208</v>
      </c>
      <c r="B4" s="21">
        <f>frac_sam_1month * 2.6</f>
        <v>0.11406116020000001</v>
      </c>
      <c r="C4" s="21">
        <f>frac_sam_1_5months * 2.6</f>
        <v>0.11406116020000001</v>
      </c>
      <c r="D4" s="21">
        <f>frac_sam_6_11months * 2.6</f>
        <v>6.9453792200000003E-2</v>
      </c>
      <c r="E4" s="21">
        <f>frac_sam_12_23months * 2.6</f>
        <v>4.6815961400000002E-2</v>
      </c>
      <c r="F4" s="21">
        <f>frac_sam_24_59months * 2.6</f>
        <v>5.4530517600000009E-3</v>
      </c>
    </row>
  </sheetData>
  <sheetProtection algorithmName="SHA-512" hashValue="2R4cjU+ZO7ErL9k0uTe3PtGNqiz6nXivVpXPgzVCi4ICBWUbvvLcfoKeELxEQmWfZKkHw8C4Ejl5LMmE7QuR8g==" saltValue="1lQcnm/SC8q7O2XaEVKb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0.13300000000000001</v>
      </c>
      <c r="E2" s="60">
        <f>food_insecure</f>
        <v>0.13300000000000001</v>
      </c>
      <c r="F2" s="60">
        <f>food_insecure</f>
        <v>0.13300000000000001</v>
      </c>
      <c r="G2" s="60">
        <f>food_insecure</f>
        <v>0.13300000000000001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0.13300000000000001</v>
      </c>
      <c r="F5" s="60">
        <f>food_insecure</f>
        <v>0.13300000000000001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0.13300000000000001</v>
      </c>
      <c r="F8" s="60">
        <f>food_insecure</f>
        <v>0.13300000000000001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0.13300000000000001</v>
      </c>
      <c r="F9" s="60">
        <f>food_insecure</f>
        <v>0.13300000000000001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0.55899999999999994</v>
      </c>
      <c r="E10" s="60">
        <f>IF(ISBLANK(comm_deliv), frac_children_health_facility,1)</f>
        <v>0.55899999999999994</v>
      </c>
      <c r="F10" s="60">
        <f>IF(ISBLANK(comm_deliv), frac_children_health_facility,1)</f>
        <v>0.55899999999999994</v>
      </c>
      <c r="G10" s="60">
        <f>IF(ISBLANK(comm_deliv), frac_children_health_facility,1)</f>
        <v>0.55899999999999994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0.13300000000000001</v>
      </c>
      <c r="I15" s="60">
        <f>food_insecure</f>
        <v>0.13300000000000001</v>
      </c>
      <c r="J15" s="60">
        <f>food_insecure</f>
        <v>0.13300000000000001</v>
      </c>
      <c r="K15" s="60">
        <f>food_insecure</f>
        <v>0.13300000000000001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0.873</v>
      </c>
      <c r="I18" s="60">
        <f>frac_PW_health_facility</f>
        <v>0.873</v>
      </c>
      <c r="J18" s="60">
        <f>frac_PW_health_facility</f>
        <v>0.873</v>
      </c>
      <c r="K18" s="60">
        <f>frac_PW_health_facility</f>
        <v>0.873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0.98</v>
      </c>
      <c r="I19" s="60">
        <f>frac_malaria_risk</f>
        <v>0.98</v>
      </c>
      <c r="J19" s="60">
        <f>frac_malaria_risk</f>
        <v>0.98</v>
      </c>
      <c r="K19" s="60">
        <f>frac_malaria_risk</f>
        <v>0.98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0.53799999999999992</v>
      </c>
      <c r="M24" s="60">
        <f>famplan_unmet_need</f>
        <v>0.53799999999999992</v>
      </c>
      <c r="N24" s="60">
        <f>famplan_unmet_need</f>
        <v>0.53799999999999992</v>
      </c>
      <c r="O24" s="60">
        <f>famplan_unmet_need</f>
        <v>0.53799999999999992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0.2248261612213133</v>
      </c>
      <c r="M25" s="60">
        <f>(1-food_insecure)*(0.49)+food_insecure*(0.7)</f>
        <v>0.51793</v>
      </c>
      <c r="N25" s="60">
        <f>(1-food_insecure)*(0.49)+food_insecure*(0.7)</f>
        <v>0.51793</v>
      </c>
      <c r="O25" s="60">
        <f>(1-food_insecure)*(0.49)+food_insecure*(0.7)</f>
        <v>0.51793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9.6354069094848546E-2</v>
      </c>
      <c r="M26" s="60">
        <f>(1-food_insecure)*(0.21)+food_insecure*(0.3)</f>
        <v>0.22196999999999997</v>
      </c>
      <c r="N26" s="60">
        <f>(1-food_insecure)*(0.21)+food_insecure*(0.3)</f>
        <v>0.22196999999999997</v>
      </c>
      <c r="O26" s="60">
        <f>(1-food_insecure)*(0.21)+food_insecure*(0.3)</f>
        <v>0.22196999999999997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0.11290576821899406</v>
      </c>
      <c r="M27" s="60">
        <f>(1-food_insecure)*(0.3)</f>
        <v>0.2601</v>
      </c>
      <c r="N27" s="60">
        <f>(1-food_insecure)*(0.3)</f>
        <v>0.2601</v>
      </c>
      <c r="O27" s="60">
        <f>(1-food_insecure)*(0.3)</f>
        <v>0.2601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0.56591400146484405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0.98</v>
      </c>
      <c r="D34" s="60">
        <f t="shared" si="3"/>
        <v>0.98</v>
      </c>
      <c r="E34" s="60">
        <f t="shared" si="3"/>
        <v>0.98</v>
      </c>
      <c r="F34" s="60">
        <f t="shared" si="3"/>
        <v>0.98</v>
      </c>
      <c r="G34" s="60">
        <f t="shared" si="3"/>
        <v>0.98</v>
      </c>
      <c r="H34" s="60">
        <f t="shared" si="3"/>
        <v>0.98</v>
      </c>
      <c r="I34" s="60">
        <f t="shared" si="3"/>
        <v>0.98</v>
      </c>
      <c r="J34" s="60">
        <f t="shared" si="3"/>
        <v>0.98</v>
      </c>
      <c r="K34" s="60">
        <f t="shared" si="3"/>
        <v>0.98</v>
      </c>
      <c r="L34" s="60">
        <f t="shared" si="3"/>
        <v>0.98</v>
      </c>
      <c r="M34" s="60">
        <f t="shared" si="3"/>
        <v>0.98</v>
      </c>
      <c r="N34" s="60">
        <f t="shared" si="3"/>
        <v>0.98</v>
      </c>
      <c r="O34" s="60">
        <f t="shared" si="3"/>
        <v>0.98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snDKGH7Fg9cmUjOQScFrOBo6zQ62HbFi7rdiNcSZ4PN4EnKNs2jXZe28hUeCsQyrsw6FxdPhyUDtzlTEmxh9pQ==" saltValue="0xRfNrMT+Wqd6pWqkV0vO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CvkZuDtMsoAqBFUTX/ZUaVQkItjCwR1mLOdPObZv4IvAv8CEX0I19xtE6KbVNCGbgCT28ZG8tkB5Uzg1SPdDMA==" saltValue="S/5NjSoTMKb28I5BQ5QOo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5UOBk7KW24lzJEjsNfH5rrXB9nKLaK1NRGx4/jXam6KczBE+9aRl3DOfEDYXqOJ8nePrfERTUzqoObd8Qn3gCA==" saltValue="Y998TTU6XDLNLmU7bk4pH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3vT9mxsuICTOgCGCDJ3AzwRML/qGSoJ23DACJDeXtfadWHx/LHQHpW6yCWB9Exr2gj3uUohc/E8DNTNVMuw6A==" saltValue="Ehenv7RtReC1mHYvF0vgT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+mKX8YhASVSxnWtl62sSThJZ4srvdtdEgsbbKRt8Dn72TYu0/p1g3Jh6aouYjNDf65EvCLBnNFQm5sgx1I8MQ==" saltValue="edjHLIP3GaWj+Rl3GakjI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bgSd7xRj5d3mFNaI2ZyMYi8Wg36p7+0hNjeernG2MPszzbhOn5tGDV91tZL0Vt3896hDk9JrcMPz9oHiTr/zVg==" saltValue="n3nZzMzTPOGLrUgjRQeP+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897509.74320000003</v>
      </c>
      <c r="C2" s="49">
        <v>1545000</v>
      </c>
      <c r="D2" s="49">
        <v>2660000</v>
      </c>
      <c r="E2" s="49">
        <v>2149000</v>
      </c>
      <c r="F2" s="49">
        <v>1597000</v>
      </c>
      <c r="G2" s="17">
        <f t="shared" ref="G2:G11" si="0">C2+D2+E2+F2</f>
        <v>7951000</v>
      </c>
      <c r="H2" s="17">
        <f t="shared" ref="H2:H11" si="1">(B2 + stillbirth*B2/(1000-stillbirth))/(1-abortion)</f>
        <v>1042467.1418951715</v>
      </c>
      <c r="I2" s="17">
        <f t="shared" ref="I2:I11" si="2">G2-H2</f>
        <v>6908532.8581048287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902990.84679999994</v>
      </c>
      <c r="C3" s="50">
        <v>1579000</v>
      </c>
      <c r="D3" s="50">
        <v>2705000</v>
      </c>
      <c r="E3" s="50">
        <v>2183000</v>
      </c>
      <c r="F3" s="50">
        <v>1651000</v>
      </c>
      <c r="G3" s="17">
        <f t="shared" si="0"/>
        <v>8118000</v>
      </c>
      <c r="H3" s="17">
        <f t="shared" si="1"/>
        <v>1048833.5022022484</v>
      </c>
      <c r="I3" s="17">
        <f t="shared" si="2"/>
        <v>7069166.4977977518</v>
      </c>
    </row>
    <row r="4" spans="1:9" ht="15.75" customHeight="1" x14ac:dyDescent="0.25">
      <c r="A4" s="5">
        <f t="shared" si="3"/>
        <v>2023</v>
      </c>
      <c r="B4" s="49">
        <v>908034.73600000003</v>
      </c>
      <c r="C4" s="50">
        <v>1617000</v>
      </c>
      <c r="D4" s="50">
        <v>2749000</v>
      </c>
      <c r="E4" s="50">
        <v>2216000</v>
      </c>
      <c r="F4" s="50">
        <v>1705000</v>
      </c>
      <c r="G4" s="17">
        <f t="shared" si="0"/>
        <v>8287000</v>
      </c>
      <c r="H4" s="17">
        <f t="shared" si="1"/>
        <v>1054692.0333192619</v>
      </c>
      <c r="I4" s="17">
        <f t="shared" si="2"/>
        <v>7232307.9666807381</v>
      </c>
    </row>
    <row r="5" spans="1:9" ht="15.75" customHeight="1" x14ac:dyDescent="0.25">
      <c r="A5" s="5">
        <f t="shared" si="3"/>
        <v>2024</v>
      </c>
      <c r="B5" s="49">
        <v>912665.16720000003</v>
      </c>
      <c r="C5" s="50">
        <v>1658000</v>
      </c>
      <c r="D5" s="50">
        <v>2797000</v>
      </c>
      <c r="E5" s="50">
        <v>2251000</v>
      </c>
      <c r="F5" s="50">
        <v>1758000</v>
      </c>
      <c r="G5" s="17">
        <f t="shared" si="0"/>
        <v>8464000</v>
      </c>
      <c r="H5" s="17">
        <f t="shared" si="1"/>
        <v>1060070.3285582592</v>
      </c>
      <c r="I5" s="17">
        <f t="shared" si="2"/>
        <v>7403929.6714417413</v>
      </c>
    </row>
    <row r="6" spans="1:9" ht="15.75" customHeight="1" x14ac:dyDescent="0.25">
      <c r="A6" s="5">
        <f t="shared" si="3"/>
        <v>2025</v>
      </c>
      <c r="B6" s="49">
        <v>916850.3</v>
      </c>
      <c r="C6" s="50">
        <v>1700000</v>
      </c>
      <c r="D6" s="50">
        <v>2847000</v>
      </c>
      <c r="E6" s="50">
        <v>2289000</v>
      </c>
      <c r="F6" s="50">
        <v>1807000</v>
      </c>
      <c r="G6" s="17">
        <f t="shared" si="0"/>
        <v>8643000</v>
      </c>
      <c r="H6" s="17">
        <f t="shared" si="1"/>
        <v>1064931.4049549478</v>
      </c>
      <c r="I6" s="17">
        <f t="shared" si="2"/>
        <v>7578068.5950450525</v>
      </c>
    </row>
    <row r="7" spans="1:9" ht="15.75" customHeight="1" x14ac:dyDescent="0.25">
      <c r="A7" s="5">
        <f t="shared" si="3"/>
        <v>2026</v>
      </c>
      <c r="B7" s="49">
        <v>924333.13800000004</v>
      </c>
      <c r="C7" s="50">
        <v>1742000</v>
      </c>
      <c r="D7" s="50">
        <v>2900000</v>
      </c>
      <c r="E7" s="50">
        <v>2330000</v>
      </c>
      <c r="F7" s="50">
        <v>1854000</v>
      </c>
      <c r="G7" s="17">
        <f t="shared" si="0"/>
        <v>8826000</v>
      </c>
      <c r="H7" s="17">
        <f t="shared" si="1"/>
        <v>1073622.8011233194</v>
      </c>
      <c r="I7" s="17">
        <f t="shared" si="2"/>
        <v>7752377.1988766808</v>
      </c>
    </row>
    <row r="8" spans="1:9" ht="15.75" customHeight="1" x14ac:dyDescent="0.25">
      <c r="A8" s="5">
        <f t="shared" si="3"/>
        <v>2027</v>
      </c>
      <c r="B8" s="49">
        <v>931532.62399999995</v>
      </c>
      <c r="C8" s="50">
        <v>1785000</v>
      </c>
      <c r="D8" s="50">
        <v>2955000</v>
      </c>
      <c r="E8" s="50">
        <v>2374000</v>
      </c>
      <c r="F8" s="50">
        <v>1898000</v>
      </c>
      <c r="G8" s="17">
        <f t="shared" si="0"/>
        <v>9012000</v>
      </c>
      <c r="H8" s="17">
        <f t="shared" si="1"/>
        <v>1081985.080920723</v>
      </c>
      <c r="I8" s="17">
        <f t="shared" si="2"/>
        <v>7930014.9190792767</v>
      </c>
    </row>
    <row r="9" spans="1:9" ht="15.75" customHeight="1" x14ac:dyDescent="0.25">
      <c r="A9" s="5">
        <f t="shared" si="3"/>
        <v>2028</v>
      </c>
      <c r="B9" s="49">
        <v>938419.10400000005</v>
      </c>
      <c r="C9" s="50">
        <v>1829000</v>
      </c>
      <c r="D9" s="50">
        <v>3012000</v>
      </c>
      <c r="E9" s="50">
        <v>2421000</v>
      </c>
      <c r="F9" s="50">
        <v>1940000</v>
      </c>
      <c r="G9" s="17">
        <f t="shared" si="0"/>
        <v>9202000</v>
      </c>
      <c r="H9" s="17">
        <f t="shared" si="1"/>
        <v>1089983.8009097923</v>
      </c>
      <c r="I9" s="17">
        <f t="shared" si="2"/>
        <v>8112016.1990902079</v>
      </c>
    </row>
    <row r="10" spans="1:9" ht="15.75" customHeight="1" x14ac:dyDescent="0.25">
      <c r="A10" s="5">
        <f t="shared" si="3"/>
        <v>2029</v>
      </c>
      <c r="B10" s="49">
        <v>945041.52599999995</v>
      </c>
      <c r="C10" s="50">
        <v>1868000</v>
      </c>
      <c r="D10" s="50">
        <v>3075000</v>
      </c>
      <c r="E10" s="50">
        <v>2469000</v>
      </c>
      <c r="F10" s="50">
        <v>1979000</v>
      </c>
      <c r="G10" s="17">
        <f t="shared" si="0"/>
        <v>9391000</v>
      </c>
      <c r="H10" s="17">
        <f t="shared" si="1"/>
        <v>1097675.8147147335</v>
      </c>
      <c r="I10" s="17">
        <f t="shared" si="2"/>
        <v>8293324.1852852665</v>
      </c>
    </row>
    <row r="11" spans="1:9" ht="15.75" customHeight="1" x14ac:dyDescent="0.25">
      <c r="A11" s="5">
        <f t="shared" si="3"/>
        <v>2030</v>
      </c>
      <c r="B11" s="49">
        <v>951369.94</v>
      </c>
      <c r="C11" s="50">
        <v>1901000</v>
      </c>
      <c r="D11" s="50">
        <v>3144000</v>
      </c>
      <c r="E11" s="50">
        <v>2514000</v>
      </c>
      <c r="F11" s="50">
        <v>2017000</v>
      </c>
      <c r="G11" s="17">
        <f t="shared" si="0"/>
        <v>9576000</v>
      </c>
      <c r="H11" s="17">
        <f t="shared" si="1"/>
        <v>1105026.3350910223</v>
      </c>
      <c r="I11" s="17">
        <f t="shared" si="2"/>
        <v>8470973.6649089772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Ol1WQf2Yngpo5FJKRQy+bAHi9jYfNCvwGTcoZMqW3+l8vFMn8/t5uEX9KlOnBNVXujg4GHzvI8siTRT70w6wQ==" saltValue="wnufbdnDQsLYTx8pU8bre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2.5447572731172237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2.5447572731172237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1.9058933702031937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1.9058933702031937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2.0206431983095943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2.0206431983095943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1.5985366910271102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1.5985366910271102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3.1240412505361821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3.1240412505361821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2.245603384029391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2.245603384029391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6vJlf47k2oqMOdu2IcACDvXrwR+vZQoFoBA8VVI8gsW6b2s6Cxj90fDni1EyCXHjkHfaVl9tbKRJyeFXwawIZw==" saltValue="NlmOZ9PG2jtG0J5pKzybo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swLLAzdF1DaaeZPJ860k+wQIoiGaVX0g0/Z2lWbOhBuYjxRE7pexTWbbgY3mEW11uNHzq/NARDwn+6/PXZZNRg==" saltValue="qo1HJKx3RtdEGGXGTqSt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tOM3T+RWUlqRVUEcpz0MlK27vVyd/gNyT+r2tmrojwv0E+t8K3r90fXcV1ZsCt3Ntm1RgJc4kI9menfIUhZxyQ==" saltValue="l9Jnw2TI7AbdFvXfJ/9N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0.61630350984184978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0.61630350984184978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0.8688642351972522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0.8688642351972522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0.8688642351972522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0.8688642351972522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0.4151686969220143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0.4151686969220143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0.83659723002343356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0.83659723002343356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0.83659723002343356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0.83659723002343356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0.91220583286016721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0.91220583286016721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0.90133604611812734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0.90133604611812734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0.90133604611812734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0.90133604611812734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RaaHSpS+nNz/8JDWiZozLzPS7F8uaQjQManc5zMokIAjsTD1EQuLrvyGW1/lCauX/KcDi6L/eyR/SyaH2mPlcA==" saltValue="BMuHgNUMnR5I65LbQvsC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4BUcI6hVmf0NSNq4Q67VpyJfZOama6WyOj1n/yZhRdl9zh4y7I4cPCIbt791tcoi6bEUJ/vc6ZVC88NLnn+KQ==" saltValue="XrYR3UVIrvmQptxl/Efz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0.39058326831910706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0.46671848813184874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0.46671848813184874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0.54026008143964277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0.54026008143964277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0.54026008143964277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0.54026008143964277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0.58268749254799079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0.58268749254799079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0.58268749254799079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0.58268749254799079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0.49924290352709305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0.57652142231663073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0.57652142231663073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0.6463932107496464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0.6463932107496464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0.6463932107496464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0.6463932107496464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0.68474148802017643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0.68474148802017643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0.68474148802017643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0.68474148802017643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0.22635998206503599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0.2854793621283333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0.2854793621283333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0.34916098361583531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0.34916098361583531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0.34916098361583531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0.34916098361583531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0.38928865404529883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0.38928865404529883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0.38928865404529883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0.38928865404529883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0.36771666734003028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0.44263201176111322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0.44263201176111322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0.51605097596386518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0.51605097596386518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0.51605097596386518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0.51605097596386518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0.5588883987648875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0.5588883987648875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0.5588883987648875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0.5588883987648875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0.88961121046702352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0.91669863941625274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0.91669863941625274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0.93661391535844829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0.93661391535844829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0.93661391535844829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0.93661391535844829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0.94611197930699975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0.94611197930699975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0.94611197930699975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0.94611197930699975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0.74135522209551175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0.79650018141440282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0.79650018141440282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0.84014067620493982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0.84014067620493982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0.84014067620493982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0.84014067620493982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0.86196424874042377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0.86196424874042377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0.86196424874042377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0.86196424874042377</v>
      </c>
    </row>
  </sheetData>
  <sheetProtection algorithmName="SHA-512" hashValue="bD4gqPuIuQ5F3I4sD5is9w731ItZdjrWrxJ7+OHs2MG3GRE1scsIX+aK2xRRjb4Qat88yrrDgssguPVeamPx2w==" saltValue="tYx5Aayl1JVnESzCzGU+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0.85451100241525713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0.85670813045817207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0.85779796168554279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0.8597470254663544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0.84827426927586269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0.84353776141808623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0.84909458051918763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0.85591122934028552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0.76905990217373144</v>
      </c>
      <c r="E10" s="90">
        <f>E3*0.9</f>
        <v>0.77103731741235493</v>
      </c>
      <c r="F10" s="90">
        <f>F3*0.9</f>
        <v>0.77201816551698854</v>
      </c>
      <c r="G10" s="90">
        <f>G3*0.9</f>
        <v>0.77377232291971898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0.76344684234827642</v>
      </c>
      <c r="E12" s="90">
        <f>E5*0.9</f>
        <v>0.75918398527627762</v>
      </c>
      <c r="F12" s="90">
        <f>F5*0.9</f>
        <v>0.76418512246726888</v>
      </c>
      <c r="G12" s="90">
        <f>G5*0.9</f>
        <v>0.77032010640625703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0.89723655253601997</v>
      </c>
      <c r="E17" s="90">
        <f>E3*1.05</f>
        <v>0.89954353698108069</v>
      </c>
      <c r="F17" s="90">
        <f>F3*1.05</f>
        <v>0.90068785976981991</v>
      </c>
      <c r="G17" s="90">
        <f>G3*1.05</f>
        <v>0.90273437673967216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0.89068798273965588</v>
      </c>
      <c r="E19" s="90">
        <f>E5*1.05</f>
        <v>0.88571464948899059</v>
      </c>
      <c r="F19" s="90">
        <f>F5*1.05</f>
        <v>0.891549309545147</v>
      </c>
      <c r="G19" s="90">
        <f>G5*1.05</f>
        <v>0.89870679080729987</v>
      </c>
    </row>
  </sheetData>
  <sheetProtection algorithmName="SHA-512" hashValue="w2yeQAwSF6ovt3W67lFDT9BOn6UMG9w5jY9PYrveNeD8/eIeUZ2DhZpJtylcgPj9+AZUr0t26I5fcvZlejnk6g==" saltValue="9Ls2oqb4Xd+g9Q6/hQ+VS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6vb+GgnltrOlU1hoPuxqAkap3bOnafJlZDy+ioxon5N58NsWPB7E0dgrDM+KX+GfPpTbbx2KHLQlUc4fFNkPKw==" saltValue="whSPj9G6mxCGHJFNc5l08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IJJqIRXLORL3Iw1q0edEJ7wgeeAghKoPyoMF+FykgaCxeKXnycDzvCi7iN+7lI7vtdGYeQM85Mi0laB6PUDA6w==" saltValue="c3M1SbYJHupS0Q8VliT1H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3.9468152878102186E-3</v>
      </c>
    </row>
    <row r="4" spans="1:8" ht="15.75" customHeight="1" x14ac:dyDescent="0.25">
      <c r="B4" s="19" t="s">
        <v>79</v>
      </c>
      <c r="C4" s="101">
        <v>0.1711723025788304</v>
      </c>
    </row>
    <row r="5" spans="1:8" ht="15.75" customHeight="1" x14ac:dyDescent="0.25">
      <c r="B5" s="19" t="s">
        <v>80</v>
      </c>
      <c r="C5" s="101">
        <v>6.5214451732251641E-2</v>
      </c>
    </row>
    <row r="6" spans="1:8" ht="15.75" customHeight="1" x14ac:dyDescent="0.25">
      <c r="B6" s="19" t="s">
        <v>81</v>
      </c>
      <c r="C6" s="101">
        <v>0.27717033759707982</v>
      </c>
    </row>
    <row r="7" spans="1:8" ht="15.75" customHeight="1" x14ac:dyDescent="0.25">
      <c r="B7" s="19" t="s">
        <v>82</v>
      </c>
      <c r="C7" s="101">
        <v>0.30072777294595021</v>
      </c>
    </row>
    <row r="8" spans="1:8" ht="15.75" customHeight="1" x14ac:dyDescent="0.25">
      <c r="B8" s="19" t="s">
        <v>83</v>
      </c>
      <c r="C8" s="101">
        <v>7.0775068953285647E-3</v>
      </c>
    </row>
    <row r="9" spans="1:8" ht="15.75" customHeight="1" x14ac:dyDescent="0.25">
      <c r="B9" s="19" t="s">
        <v>84</v>
      </c>
      <c r="C9" s="101">
        <v>0.10403001839042871</v>
      </c>
    </row>
    <row r="10" spans="1:8" ht="15.75" customHeight="1" x14ac:dyDescent="0.25">
      <c r="B10" s="19" t="s">
        <v>85</v>
      </c>
      <c r="C10" s="101">
        <v>7.0660794572320426E-2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0.119105122584304</v>
      </c>
      <c r="D14" s="55">
        <v>0.119105122584304</v>
      </c>
      <c r="E14" s="55">
        <v>0.119105122584304</v>
      </c>
      <c r="F14" s="55">
        <v>0.119105122584304</v>
      </c>
    </row>
    <row r="15" spans="1:8" ht="15.75" customHeight="1" x14ac:dyDescent="0.25">
      <c r="B15" s="19" t="s">
        <v>88</v>
      </c>
      <c r="C15" s="101">
        <v>0.1676172942136544</v>
      </c>
      <c r="D15" s="101">
        <v>0.1676172942136544</v>
      </c>
      <c r="E15" s="101">
        <v>0.1676172942136544</v>
      </c>
      <c r="F15" s="101">
        <v>0.1676172942136544</v>
      </c>
    </row>
    <row r="16" spans="1:8" ht="15.75" customHeight="1" x14ac:dyDescent="0.25">
      <c r="B16" s="19" t="s">
        <v>89</v>
      </c>
      <c r="C16" s="101">
        <v>1.721282459633125E-2</v>
      </c>
      <c r="D16" s="101">
        <v>1.721282459633125E-2</v>
      </c>
      <c r="E16" s="101">
        <v>1.721282459633125E-2</v>
      </c>
      <c r="F16" s="101">
        <v>1.721282459633125E-2</v>
      </c>
    </row>
    <row r="17" spans="1:8" ht="15.75" customHeight="1" x14ac:dyDescent="0.25">
      <c r="B17" s="19" t="s">
        <v>90</v>
      </c>
      <c r="C17" s="101">
        <v>4.4933762905478292E-3</v>
      </c>
      <c r="D17" s="101">
        <v>4.4933762905478292E-3</v>
      </c>
      <c r="E17" s="101">
        <v>4.4933762905478292E-3</v>
      </c>
      <c r="F17" s="101">
        <v>4.4933762905478292E-3</v>
      </c>
    </row>
    <row r="18" spans="1:8" ht="15.75" customHeight="1" x14ac:dyDescent="0.25">
      <c r="B18" s="19" t="s">
        <v>91</v>
      </c>
      <c r="C18" s="101">
        <v>0.15034112871616481</v>
      </c>
      <c r="D18" s="101">
        <v>0.15034112871616481</v>
      </c>
      <c r="E18" s="101">
        <v>0.15034112871616481</v>
      </c>
      <c r="F18" s="101">
        <v>0.15034112871616481</v>
      </c>
    </row>
    <row r="19" spans="1:8" ht="15.75" customHeight="1" x14ac:dyDescent="0.25">
      <c r="B19" s="19" t="s">
        <v>92</v>
      </c>
      <c r="C19" s="101">
        <v>3.1377240310399353E-2</v>
      </c>
      <c r="D19" s="101">
        <v>3.1377240310399353E-2</v>
      </c>
      <c r="E19" s="101">
        <v>3.1377240310399353E-2</v>
      </c>
      <c r="F19" s="101">
        <v>3.1377240310399353E-2</v>
      </c>
    </row>
    <row r="20" spans="1:8" ht="15.75" customHeight="1" x14ac:dyDescent="0.25">
      <c r="B20" s="19" t="s">
        <v>93</v>
      </c>
      <c r="C20" s="101">
        <v>8.8223263968152776E-2</v>
      </c>
      <c r="D20" s="101">
        <v>8.8223263968152776E-2</v>
      </c>
      <c r="E20" s="101">
        <v>8.8223263968152776E-2</v>
      </c>
      <c r="F20" s="101">
        <v>8.8223263968152776E-2</v>
      </c>
    </row>
    <row r="21" spans="1:8" ht="15.75" customHeight="1" x14ac:dyDescent="0.25">
      <c r="B21" s="19" t="s">
        <v>94</v>
      </c>
      <c r="C21" s="101">
        <v>0.1034469596205599</v>
      </c>
      <c r="D21" s="101">
        <v>0.1034469596205599</v>
      </c>
      <c r="E21" s="101">
        <v>0.1034469596205599</v>
      </c>
      <c r="F21" s="101">
        <v>0.1034469596205599</v>
      </c>
    </row>
    <row r="22" spans="1:8" ht="15.75" customHeight="1" x14ac:dyDescent="0.25">
      <c r="B22" s="19" t="s">
        <v>95</v>
      </c>
      <c r="C22" s="101">
        <v>0.31818278969988589</v>
      </c>
      <c r="D22" s="101">
        <v>0.31818278969988589</v>
      </c>
      <c r="E22" s="101">
        <v>0.31818278969988589</v>
      </c>
      <c r="F22" s="101">
        <v>0.31818278969988589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6.6578172000000005E-2</v>
      </c>
    </row>
    <row r="27" spans="1:8" ht="15.75" customHeight="1" x14ac:dyDescent="0.25">
      <c r="B27" s="19" t="s">
        <v>102</v>
      </c>
      <c r="C27" s="101">
        <v>4.9825570000000003E-3</v>
      </c>
    </row>
    <row r="28" spans="1:8" ht="15.75" customHeight="1" x14ac:dyDescent="0.25">
      <c r="B28" s="19" t="s">
        <v>103</v>
      </c>
      <c r="C28" s="101">
        <v>0.12458364500000001</v>
      </c>
    </row>
    <row r="29" spans="1:8" ht="15.75" customHeight="1" x14ac:dyDescent="0.25">
      <c r="B29" s="19" t="s">
        <v>104</v>
      </c>
      <c r="C29" s="101">
        <v>0.123203627</v>
      </c>
    </row>
    <row r="30" spans="1:8" ht="15.75" customHeight="1" x14ac:dyDescent="0.25">
      <c r="B30" s="19" t="s">
        <v>2</v>
      </c>
      <c r="C30" s="101">
        <v>8.5390918999999996E-2</v>
      </c>
    </row>
    <row r="31" spans="1:8" ht="15.75" customHeight="1" x14ac:dyDescent="0.25">
      <c r="B31" s="19" t="s">
        <v>105</v>
      </c>
      <c r="C31" s="101">
        <v>0.13704649199999999</v>
      </c>
    </row>
    <row r="32" spans="1:8" ht="15.75" customHeight="1" x14ac:dyDescent="0.25">
      <c r="B32" s="19" t="s">
        <v>106</v>
      </c>
      <c r="C32" s="101">
        <v>1.3877614E-2</v>
      </c>
    </row>
    <row r="33" spans="2:3" ht="15.75" customHeight="1" x14ac:dyDescent="0.25">
      <c r="B33" s="19" t="s">
        <v>107</v>
      </c>
      <c r="C33" s="101">
        <v>0.162878947</v>
      </c>
    </row>
    <row r="34" spans="2:3" ht="15.75" customHeight="1" x14ac:dyDescent="0.25">
      <c r="B34" s="19" t="s">
        <v>108</v>
      </c>
      <c r="C34" s="101">
        <v>0.281458027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voD/c2FWYmEFSbkws2vyResnbqNsQ/Mb2QduHglBAA8kkjqhLSTMOIrX6LppW8r/IgTmwDe1yJB7ExsTHcRdtw==" saltValue="yeG0SH9JusUxj3Sw/7Va+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0.66907221883505485</v>
      </c>
      <c r="D2" s="52">
        <f>IFERROR(1-_xlfn.NORM.DIST(_xlfn.NORM.INV(SUM(D4:D5), 0, 1) + 1, 0, 1, TRUE), "")</f>
        <v>0.66907221883505485</v>
      </c>
      <c r="E2" s="52">
        <f>IFERROR(1-_xlfn.NORM.DIST(_xlfn.NORM.INV(SUM(E4:E5), 0, 1) + 1, 0, 1, TRUE), "")</f>
        <v>0.61858624342790003</v>
      </c>
      <c r="F2" s="52">
        <f>IFERROR(1-_xlfn.NORM.DIST(_xlfn.NORM.INV(SUM(F4:F5), 0, 1) + 1, 0, 1, TRUE), "")</f>
        <v>0.45590421954321891</v>
      </c>
      <c r="G2" s="52">
        <f>IFERROR(1-_xlfn.NORM.DIST(_xlfn.NORM.INV(SUM(G4:G5), 0, 1) + 1, 0, 1, TRUE), "")</f>
        <v>0.43778266205836958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0.25561888416494521</v>
      </c>
      <c r="D3" s="52">
        <f>IFERROR(_xlfn.NORM.DIST(_xlfn.NORM.INV(SUM(D4:D5), 0, 1) + 1, 0, 1, TRUE) - SUM(D4:D5), "")</f>
        <v>0.25561888416494521</v>
      </c>
      <c r="E3" s="52">
        <f>IFERROR(_xlfn.NORM.DIST(_xlfn.NORM.INV(SUM(E4:E5), 0, 1) + 1, 0, 1, TRUE) - SUM(E4:E5), "")</f>
        <v>0.28491622057209998</v>
      </c>
      <c r="F3" s="52">
        <f>IFERROR(_xlfn.NORM.DIST(_xlfn.NORM.INV(SUM(F4:F5), 0, 1) + 1, 0, 1, TRUE) - SUM(F4:F5), "")</f>
        <v>0.35715932645678106</v>
      </c>
      <c r="G3" s="52">
        <f>IFERROR(_xlfn.NORM.DIST(_xlfn.NORM.INV(SUM(G4:G5), 0, 1) + 1, 0, 1, TRUE) - SUM(G4:G5), "")</f>
        <v>0.36271680394163042</v>
      </c>
    </row>
    <row r="4" spans="1:15" ht="15.75" customHeight="1" x14ac:dyDescent="0.25">
      <c r="B4" s="5" t="s">
        <v>114</v>
      </c>
      <c r="C4" s="45">
        <v>4.8324021999999987E-2</v>
      </c>
      <c r="D4" s="53">
        <v>4.8324021999999987E-2</v>
      </c>
      <c r="E4" s="53">
        <v>7.000748200000001E-2</v>
      </c>
      <c r="F4" s="53">
        <v>0.13699253</v>
      </c>
      <c r="G4" s="53">
        <v>0.14552478999999999</v>
      </c>
    </row>
    <row r="5" spans="1:15" ht="15.75" customHeight="1" x14ac:dyDescent="0.25">
      <c r="B5" s="5" t="s">
        <v>115</v>
      </c>
      <c r="C5" s="45">
        <v>2.6984874999999998E-2</v>
      </c>
      <c r="D5" s="53">
        <v>2.6984874999999998E-2</v>
      </c>
      <c r="E5" s="53">
        <v>2.6490053999999999E-2</v>
      </c>
      <c r="F5" s="53">
        <v>4.9943924000000001E-2</v>
      </c>
      <c r="G5" s="53">
        <v>5.3975743999999999E-2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0.54336592260276562</v>
      </c>
      <c r="D8" s="52">
        <f>IFERROR(1-_xlfn.NORM.DIST(_xlfn.NORM.INV(SUM(D10:D11), 0, 1) + 1, 0, 1, TRUE), "")</f>
        <v>0.54336592260276562</v>
      </c>
      <c r="E8" s="52">
        <f>IFERROR(1-_xlfn.NORM.DIST(_xlfn.NORM.INV(SUM(E10:E11), 0, 1) + 1, 0, 1, TRUE), "")</f>
        <v>0.51614817110539846</v>
      </c>
      <c r="F8" s="52">
        <f>IFERROR(1-_xlfn.NORM.DIST(_xlfn.NORM.INV(SUM(F10:F11), 0, 1) + 1, 0, 1, TRUE), "")</f>
        <v>0.60643123821754985</v>
      </c>
      <c r="G8" s="52">
        <f>IFERROR(1-_xlfn.NORM.DIST(_xlfn.NORM.INV(SUM(G10:G11), 0, 1) + 1, 0, 1, TRUE), "")</f>
        <v>0.79123140583543117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0.32290112839723439</v>
      </c>
      <c r="D9" s="52">
        <f>IFERROR(_xlfn.NORM.DIST(_xlfn.NORM.INV(SUM(D10:D11), 0, 1) + 1, 0, 1, TRUE) - SUM(D10:D11), "")</f>
        <v>0.32290112839723439</v>
      </c>
      <c r="E9" s="52">
        <f>IFERROR(_xlfn.NORM.DIST(_xlfn.NORM.INV(SUM(E10:E11), 0, 1) + 1, 0, 1, TRUE) - SUM(E10:E11), "")</f>
        <v>0.33479533189460153</v>
      </c>
      <c r="F9" s="52">
        <f>IFERROR(_xlfn.NORM.DIST(_xlfn.NORM.INV(SUM(F10:F11), 0, 1) + 1, 0, 1, TRUE) - SUM(F10:F11), "")</f>
        <v>0.29153170878245022</v>
      </c>
      <c r="G9" s="52">
        <f>IFERROR(_xlfn.NORM.DIST(_xlfn.NORM.INV(SUM(G10:G11), 0, 1) + 1, 0, 1, TRUE) - SUM(G10:G11), "")</f>
        <v>0.17367504856456881</v>
      </c>
    </row>
    <row r="10" spans="1:15" ht="15.75" customHeight="1" x14ac:dyDescent="0.25">
      <c r="B10" s="5" t="s">
        <v>119</v>
      </c>
      <c r="C10" s="45">
        <v>8.9863271999999994E-2</v>
      </c>
      <c r="D10" s="53">
        <v>8.9863271999999994E-2</v>
      </c>
      <c r="E10" s="53">
        <v>0.12234349999999999</v>
      </c>
      <c r="F10" s="53">
        <v>8.4030913999999998E-2</v>
      </c>
      <c r="G10" s="53">
        <v>3.2996218000000001E-2</v>
      </c>
    </row>
    <row r="11" spans="1:15" ht="15.75" customHeight="1" x14ac:dyDescent="0.25">
      <c r="B11" s="5" t="s">
        <v>120</v>
      </c>
      <c r="C11" s="45">
        <v>4.3869677000000003E-2</v>
      </c>
      <c r="D11" s="53">
        <v>4.3869677000000003E-2</v>
      </c>
      <c r="E11" s="53">
        <v>2.6712996999999999E-2</v>
      </c>
      <c r="F11" s="53">
        <v>1.8006139000000001E-2</v>
      </c>
      <c r="G11" s="53">
        <v>2.0973276000000002E-3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0.76397983049999996</v>
      </c>
      <c r="D14" s="54">
        <v>0.75075595181599997</v>
      </c>
      <c r="E14" s="54">
        <v>0.75075595181599997</v>
      </c>
      <c r="F14" s="54">
        <v>0.65965136567799998</v>
      </c>
      <c r="G14" s="54">
        <v>0.65965136567799998</v>
      </c>
      <c r="H14" s="45">
        <v>0.54299999999999993</v>
      </c>
      <c r="I14" s="55">
        <v>0.54299999999999993</v>
      </c>
      <c r="J14" s="55">
        <v>0.54299999999999993</v>
      </c>
      <c r="K14" s="55">
        <v>0.54299999999999993</v>
      </c>
      <c r="L14" s="45">
        <v>0.45700000000000002</v>
      </c>
      <c r="M14" s="55">
        <v>0.45700000000000002</v>
      </c>
      <c r="N14" s="55">
        <v>0.45700000000000002</v>
      </c>
      <c r="O14" s="55">
        <v>0.45700000000000002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0.29862138022651807</v>
      </c>
      <c r="D15" s="52">
        <f t="shared" si="0"/>
        <v>0.2934524834220309</v>
      </c>
      <c r="E15" s="52">
        <f t="shared" si="0"/>
        <v>0.2934524834220309</v>
      </c>
      <c r="F15" s="52">
        <f t="shared" si="0"/>
        <v>0.25784188721075402</v>
      </c>
      <c r="G15" s="52">
        <f t="shared" si="0"/>
        <v>0.25784188721075402</v>
      </c>
      <c r="H15" s="52">
        <f t="shared" si="0"/>
        <v>0.21224566800000003</v>
      </c>
      <c r="I15" s="52">
        <f t="shared" si="0"/>
        <v>0.21224566800000003</v>
      </c>
      <c r="J15" s="52">
        <f t="shared" si="0"/>
        <v>0.21224566800000003</v>
      </c>
      <c r="K15" s="52">
        <f t="shared" si="0"/>
        <v>0.21224566800000003</v>
      </c>
      <c r="L15" s="52">
        <f t="shared" si="0"/>
        <v>0.17863033200000006</v>
      </c>
      <c r="M15" s="52">
        <f t="shared" si="0"/>
        <v>0.17863033200000006</v>
      </c>
      <c r="N15" s="52">
        <f t="shared" si="0"/>
        <v>0.17863033200000006</v>
      </c>
      <c r="O15" s="52">
        <f t="shared" si="0"/>
        <v>0.17863033200000006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6ODPXgvADXmskc/5/me/31WYxj0AbaujJ3UUpe2xvNoPqX1+yYvPQdghTWlgL1TG73JyRJeHpXCgFJZ0ocC6w==" saltValue="o7yywfQIscM+HPyr/ijg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0.63748349999999998</v>
      </c>
      <c r="D2" s="53">
        <v>0.38182569999999999</v>
      </c>
      <c r="E2" s="53"/>
      <c r="F2" s="53"/>
      <c r="G2" s="53"/>
    </row>
    <row r="3" spans="1:7" x14ac:dyDescent="0.25">
      <c r="B3" s="3" t="s">
        <v>130</v>
      </c>
      <c r="C3" s="53">
        <v>0.210618</v>
      </c>
      <c r="D3" s="53">
        <v>0.211954</v>
      </c>
      <c r="E3" s="53"/>
      <c r="F3" s="53"/>
      <c r="G3" s="53"/>
    </row>
    <row r="4" spans="1:7" x14ac:dyDescent="0.25">
      <c r="B4" s="3" t="s">
        <v>131</v>
      </c>
      <c r="C4" s="53">
        <v>0.1174632</v>
      </c>
      <c r="D4" s="53">
        <v>0.38791469999999989</v>
      </c>
      <c r="E4" s="53">
        <v>0.989923655986786</v>
      </c>
      <c r="F4" s="53">
        <v>0.75925529003143299</v>
      </c>
      <c r="G4" s="53"/>
    </row>
    <row r="5" spans="1:7" x14ac:dyDescent="0.25">
      <c r="B5" s="3" t="s">
        <v>132</v>
      </c>
      <c r="C5" s="52">
        <v>3.4435300000000002E-2</v>
      </c>
      <c r="D5" s="52">
        <v>1.830557E-2</v>
      </c>
      <c r="E5" s="52">
        <f>1-SUM(E2:E4)</f>
        <v>1.0076344013214E-2</v>
      </c>
      <c r="F5" s="52">
        <f>1-SUM(F2:F4)</f>
        <v>0.24074470996856701</v>
      </c>
      <c r="G5" s="52">
        <f>1-SUM(G2:G4)</f>
        <v>1</v>
      </c>
    </row>
  </sheetData>
  <sheetProtection algorithmName="SHA-512" hashValue="2kWJj+Ohbp88Kx5PYLsPM7Z5uvKxrd045MsRGsot6xSte92KcnGr890dpM6Z7Y5XOHR3l71VWMfAp6fjGEc+Hg==" saltValue="IrgP9CZviK54P+Sn7IBw9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8FOhYswLxayK7ooqbYvaykf0ws2SKw6CIOtrYlfo6XcGHW+dVq5c/bKUZmTSkgMHGCuyc+GKxYGNaK9Nng3dQ==" saltValue="ZezVY1ZqRYnupvNtfJYc0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lCou+lXhazLE6yS6jU1eX5oWHKlU/QTADpnjLJHKQFj7Sp6syV9fA5INwT80G9y5IsfPDHKmCMU3Aq0nEeLQOw==" saltValue="EXIUE7ddpSgnOw57gBf/P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AjUZR2IDZRN7R7Ly6JA/8ET1Et2zicTq+MUXKUI8VJTaLZ1XSM6/BkjtRhUlF8WJJ/RYwK4MUFgw6UwfskqVgQ==" saltValue="dvbXCiTnD0ME/3zaA6cUD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BDuIftebc+gMc8tCL6pE12F3T2ZRkAYLSn9vrqP2gzk7pfq7u8dwac8dcBIvmufMST6zK8Cjxw10JPCTg5kHTA==" saltValue="nkMXd9CIc3XtPwr2xR2Z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2024-03-15T02:56:06Z</dcterms:modified>
</cp:coreProperties>
</file>