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0B8971BD-5869-4DB0-B7F0-6A43D27DD906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G17" i="26"/>
  <c r="C17" i="26"/>
  <c r="C12" i="26"/>
  <c r="C10" i="26"/>
  <c r="G5" i="26"/>
  <c r="G19" i="26" s="1"/>
  <c r="F5" i="26"/>
  <c r="F19" i="26" s="1"/>
  <c r="E5" i="26"/>
  <c r="E19" i="26" s="1"/>
  <c r="D5" i="26"/>
  <c r="D12" i="26" s="1"/>
  <c r="G3" i="26"/>
  <c r="G10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I7" i="2"/>
  <c r="H7" i="2"/>
  <c r="G7" i="2"/>
  <c r="H6" i="2"/>
  <c r="G6" i="2"/>
  <c r="I6" i="2" s="1"/>
  <c r="H5" i="2"/>
  <c r="I5" i="2" s="1"/>
  <c r="G5" i="2"/>
  <c r="H4" i="2"/>
  <c r="G4" i="2"/>
  <c r="I3" i="2"/>
  <c r="H3" i="2"/>
  <c r="G3" i="2"/>
  <c r="H2" i="2"/>
  <c r="G2" i="2"/>
  <c r="I2" i="2" s="1"/>
  <c r="A2" i="2"/>
  <c r="A36" i="2" s="1"/>
  <c r="C33" i="1"/>
  <c r="C20" i="1"/>
  <c r="A21" i="2" l="1"/>
  <c r="A13" i="2"/>
  <c r="A29" i="2"/>
  <c r="E12" i="26"/>
  <c r="A37" i="2"/>
  <c r="I4" i="2"/>
  <c r="F12" i="26"/>
  <c r="D10" i="26"/>
  <c r="G12" i="26"/>
  <c r="A22" i="2"/>
  <c r="A15" i="2"/>
  <c r="A23" i="2"/>
  <c r="A31" i="2"/>
  <c r="E10" i="26"/>
  <c r="A14" i="2"/>
  <c r="A30" i="2"/>
  <c r="A38" i="2"/>
  <c r="A40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F10" i="26"/>
  <c r="A17" i="2"/>
  <c r="A25" i="2"/>
  <c r="A33" i="2"/>
  <c r="A18" i="2"/>
  <c r="A26" i="2"/>
  <c r="A34" i="2"/>
  <c r="A39" i="2"/>
  <c r="A19" i="2"/>
  <c r="A27" i="2"/>
  <c r="A35" i="2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<sst xmlns="http://schemas.openxmlformats.org/spreadsheetml/2006/main" count="2092" uniqueCount="337">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</sst>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231460.4296875</v>
      </c>
    </row>
    <row r="8" spans="1:3" ht="15" customHeight="1" x14ac:dyDescent="0.25">
      <c r="B8" s="5" t="s">
        <v>19</v>
      </c>
      <c r="C8" s="44">
        <v>1.4999999999999999E-2</v>
      </c>
    </row>
    <row r="9" spans="1:3" ht="15" customHeight="1" x14ac:dyDescent="0.25">
      <c r="B9" s="5" t="s">
        <v>20</v>
      </c>
      <c r="C9" s="45">
        <v>0.97</v>
      </c>
    </row>
    <row r="10" spans="1:3" ht="15" customHeight="1" x14ac:dyDescent="0.25">
      <c r="B10" s="5" t="s">
        <v>21</v>
      </c>
      <c r="C10" s="45">
        <v>0.32603321079999997</v>
      </c>
    </row>
    <row r="11" spans="1:3" ht="15" customHeight="1" x14ac:dyDescent="0.25">
      <c r="B11" s="5" t="s">
        <v>22</v>
      </c>
      <c r="C11" s="45">
        <v>0.66900000000000004</v>
      </c>
    </row>
    <row r="12" spans="1:3" ht="15" customHeight="1" x14ac:dyDescent="0.25">
      <c r="B12" s="5" t="s">
        <v>23</v>
      </c>
      <c r="C12" s="45">
        <v>0.54299999999999993</v>
      </c>
    </row>
    <row r="13" spans="1:3" ht="15" customHeight="1" x14ac:dyDescent="0.25">
      <c r="B13" s="5" t="s">
        <v>24</v>
      </c>
      <c r="C13" s="45">
        <v>0.79500000000000004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0.17019999999999999</v>
      </c>
    </row>
    <row r="24" spans="1:3" ht="15" customHeight="1" x14ac:dyDescent="0.25">
      <c r="B24" s="15" t="s">
        <v>33</v>
      </c>
      <c r="C24" s="45">
        <v>0.45119999999999999</v>
      </c>
    </row>
    <row r="25" spans="1:3" ht="15" customHeight="1" x14ac:dyDescent="0.25">
      <c r="B25" s="15" t="s">
        <v>34</v>
      </c>
      <c r="C25" s="45">
        <v>0.29249999999999998</v>
      </c>
    </row>
    <row r="26" spans="1:3" ht="15" customHeight="1" x14ac:dyDescent="0.25">
      <c r="B26" s="15" t="s">
        <v>35</v>
      </c>
      <c r="C26" s="45">
        <v>8.6099999999999996E-2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0.19675086525509</v>
      </c>
    </row>
    <row r="30" spans="1:3" ht="14.25" customHeight="1" x14ac:dyDescent="0.25">
      <c r="B30" s="25" t="s">
        <v>38</v>
      </c>
      <c r="C30" s="99">
        <v>5.4334968835213812E-2</v>
      </c>
    </row>
    <row r="31" spans="1:3" ht="14.25" customHeight="1" x14ac:dyDescent="0.25">
      <c r="B31" s="25" t="s">
        <v>39</v>
      </c>
      <c r="C31" s="99">
        <v>0.12809177283586601</v>
      </c>
    </row>
    <row r="32" spans="1:3" ht="14.25" customHeight="1" x14ac:dyDescent="0.25">
      <c r="B32" s="25" t="s">
        <v>40</v>
      </c>
      <c r="C32" s="99">
        <v>0.62082239307383003</v>
      </c>
    </row>
    <row r="33" spans="1:5" ht="13" customHeight="1" x14ac:dyDescent="0.25">
      <c r="B33" s="27" t="s">
        <v>41</v>
      </c>
      <c r="C33" s="48">
        <f>SUM(C29:C32)</f>
        <v>0.99999999999999989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29.005217026656702</v>
      </c>
    </row>
    <row r="38" spans="1:5" ht="15" customHeight="1" x14ac:dyDescent="0.25">
      <c r="B38" s="11" t="s">
        <v>45</v>
      </c>
      <c r="C38" s="43">
        <v>60.412524959319803</v>
      </c>
      <c r="D38" s="12"/>
      <c r="E38" s="13"/>
    </row>
    <row r="39" spans="1:5" ht="15" customHeight="1" x14ac:dyDescent="0.25">
      <c r="B39" s="11" t="s">
        <v>46</v>
      </c>
      <c r="C39" s="43">
        <v>81.846654138467002</v>
      </c>
      <c r="D39" s="12"/>
      <c r="E39" s="12"/>
    </row>
    <row r="40" spans="1:5" ht="15" customHeight="1" x14ac:dyDescent="0.25">
      <c r="B40" s="11" t="s">
        <v>47</v>
      </c>
      <c r="C40" s="100">
        <v>3.01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15.07910517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2.8584999999999999E-3</v>
      </c>
      <c r="D45" s="12"/>
    </row>
    <row r="46" spans="1:5" ht="15.75" customHeight="1" x14ac:dyDescent="0.25">
      <c r="B46" s="11" t="s">
        <v>52</v>
      </c>
      <c r="C46" s="45">
        <v>8.5482000000000002E-2</v>
      </c>
      <c r="D46" s="12"/>
    </row>
    <row r="47" spans="1:5" ht="15.75" customHeight="1" x14ac:dyDescent="0.25">
      <c r="B47" s="11" t="s">
        <v>53</v>
      </c>
      <c r="C47" s="45">
        <v>0.14246629999999999</v>
      </c>
      <c r="D47" s="12"/>
      <c r="E47" s="13"/>
    </row>
    <row r="48" spans="1:5" ht="15" customHeight="1" x14ac:dyDescent="0.25">
      <c r="B48" s="11" t="s">
        <v>54</v>
      </c>
      <c r="C48" s="46">
        <v>0.76919320000000002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3.3</v>
      </c>
      <c r="D51" s="12"/>
    </row>
    <row r="52" spans="1:4" ht="15" customHeight="1" x14ac:dyDescent="0.25">
      <c r="B52" s="11" t="s">
        <v>57</v>
      </c>
      <c r="C52" s="100">
        <v>3.3</v>
      </c>
    </row>
    <row r="53" spans="1:4" ht="15.75" customHeight="1" x14ac:dyDescent="0.25">
      <c r="B53" s="11" t="s">
        <v>58</v>
      </c>
      <c r="C53" s="100">
        <v>3.3</v>
      </c>
    </row>
    <row r="54" spans="1:4" ht="15.75" customHeight="1" x14ac:dyDescent="0.25">
      <c r="B54" s="11" t="s">
        <v>59</v>
      </c>
      <c r="C54" s="100">
        <v>3.3</v>
      </c>
    </row>
    <row r="55" spans="1:4" ht="15.75" customHeight="1" x14ac:dyDescent="0.25">
      <c r="B55" s="11" t="s">
        <v>60</v>
      </c>
      <c r="C55" s="100">
        <v>3.3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2.181818181818182E-2</v>
      </c>
    </row>
    <row r="59" spans="1:4" ht="15.75" customHeight="1" x14ac:dyDescent="0.25">
      <c r="B59" s="11" t="s">
        <v>63</v>
      </c>
      <c r="C59" s="45">
        <v>0.42923099999999997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N25ADVzbbrmcy1zmMCI6e2tq/qFh8kO05sTFvi/mjsIJQw3FvCVc1/UlgmmkfEa+T5cp3QhkWdiGUkpwOUK54w==" saltValue="e5JkRBeePPfhMkEaTBWev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</v>
      </c>
      <c r="C2" s="98">
        <v>0.95</v>
      </c>
      <c r="D2" s="56">
        <v>87.391752012908441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40.53825169220913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874.73534732467272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0.93694880533897928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13.67055113600504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13.67055113600504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13.67055113600504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13.67055113600504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13.67055113600504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13.67055113600504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</v>
      </c>
      <c r="C16" s="98">
        <v>0.95</v>
      </c>
      <c r="D16" s="56">
        <v>1.3773362239396929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0.65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20.02723308412703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20.02723308412703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</v>
      </c>
      <c r="C21" s="98">
        <v>0.95</v>
      </c>
      <c r="D21" s="56">
        <v>10.32305644607259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23.936202886472088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0</v>
      </c>
      <c r="C23" s="98">
        <v>0.95</v>
      </c>
      <c r="D23" s="56">
        <v>4.6908199698568867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</v>
      </c>
      <c r="C27" s="98">
        <v>0.95</v>
      </c>
      <c r="D27" s="56">
        <v>19.219496467459528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0.40400000000000003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180.6631632031546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1.304771366326084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3.0250294891780638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0.66312790021524293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0.3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2E-3</v>
      </c>
      <c r="C38" s="98">
        <v>0.95</v>
      </c>
      <c r="D38" s="56">
        <v>6.1461020173279026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0.40699999999999997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Q1Ah0YnngIK1Wx617hiStgnaelLZhVem3KRk9neqPCgAQGcQ/cY2UIXE0QokXKLsFIBSajYN5P676Lqmxu/+2Q==" saltValue="c0t/5l4B8iLOMEDDu6sK0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77POts/CrLkVbs7E8OeCiRGQbUFTgyJDJ1K8Ua+1cVJO7Y881HAuFC9l+CXId6MyWQ1oCcj5vb0iDppG9kdycQ==" saltValue="pfOZu2clVPv+VBYFeXiAT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Ia43j1CBllNRpV4WBfdsRX5a8lYcmClKOk0bSxkpVx9KKciijKSgNzc+wBb4W00+Ed1UMY2UNML5shI5w8d3lw==" saltValue="01akKb4DKSmyFxJlftTwP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5">
      <c r="A3" s="3" t="s">
        <v>209</v>
      </c>
      <c r="B3" s="21">
        <f>frac_mam_1month * 2.6</f>
        <v>0.19372297874347755</v>
      </c>
      <c r="C3" s="21">
        <f>frac_mam_1_5months * 2.6</f>
        <v>0.19372297874347755</v>
      </c>
      <c r="D3" s="21">
        <f>frac_mam_6_11months * 2.6</f>
        <v>0.27618170427677441</v>
      </c>
      <c r="E3" s="21">
        <f>frac_mam_12_23months * 2.6</f>
        <v>0.22045132160407122</v>
      </c>
      <c r="F3" s="21">
        <f>frac_mam_24_59months * 2.6</f>
        <v>0.12275080651566304</v>
      </c>
    </row>
    <row r="4" spans="1:6" ht="15.75" customHeight="1" x14ac:dyDescent="0.25">
      <c r="A4" s="3" t="s">
        <v>208</v>
      </c>
      <c r="B4" s="21">
        <f>frac_sam_1month * 2.6</f>
        <v>0.12945086201981754</v>
      </c>
      <c r="C4" s="21">
        <f>frac_sam_1_5months * 2.6</f>
        <v>0.12945086201981754</v>
      </c>
      <c r="D4" s="21">
        <f>frac_sam_6_11months * 2.6</f>
        <v>0.14373957704470494</v>
      </c>
      <c r="E4" s="21">
        <f>frac_sam_12_23months * 2.6</f>
        <v>0.11181692882896849</v>
      </c>
      <c r="F4" s="21">
        <f>frac_sam_24_59months * 2.6</f>
        <v>5.4633652019969628E-2</v>
      </c>
    </row>
  </sheetData>
  <sheetProtection algorithmName="SHA-512" hashValue="kohaKtIRTSs/yU3NKkNwUZTsElyI3DevwegFjPBTOWc3YthvCA2Qs7xvnUeQOnJpl9Ra8HSLy5UMlkzZ4KAyuA==" saltValue="Cg/fk76sBdRYXRqGZPGY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0.54299999999999993</v>
      </c>
      <c r="E10" s="60">
        <f>IF(ISBLANK(comm_deliv), frac_children_health_facility,1)</f>
        <v>0.54299999999999993</v>
      </c>
      <c r="F10" s="60">
        <f>IF(ISBLANK(comm_deliv), frac_children_health_facility,1)</f>
        <v>0.54299999999999993</v>
      </c>
      <c r="G10" s="60">
        <f>IF(ISBLANK(comm_deliv), frac_children_health_facility,1)</f>
        <v>0.54299999999999993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0.66900000000000004</v>
      </c>
      <c r="I18" s="60">
        <f>frac_PW_health_facility</f>
        <v>0.66900000000000004</v>
      </c>
      <c r="J18" s="60">
        <f>frac_PW_health_facility</f>
        <v>0.66900000000000004</v>
      </c>
      <c r="K18" s="60">
        <f>frac_PW_health_facility</f>
        <v>0.66900000000000004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0.97</v>
      </c>
      <c r="I19" s="60">
        <f>frac_malaria_risk</f>
        <v>0.97</v>
      </c>
      <c r="J19" s="60">
        <f>frac_malaria_risk</f>
        <v>0.97</v>
      </c>
      <c r="K19" s="60">
        <f>frac_malaria_risk</f>
        <v>0.97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0.79500000000000004</v>
      </c>
      <c r="M24" s="60">
        <f>famplan_unmet_need</f>
        <v>0.79500000000000004</v>
      </c>
      <c r="N24" s="60">
        <f>famplan_unmet_need</f>
        <v>0.79500000000000004</v>
      </c>
      <c r="O24" s="60">
        <f>famplan_unmet_need</f>
        <v>0.79500000000000004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0.33236672209398005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0.14244288089742002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0.19915718620860001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0.97</v>
      </c>
      <c r="D34" s="60">
        <f t="shared" si="3"/>
        <v>0.97</v>
      </c>
      <c r="E34" s="60">
        <f t="shared" si="3"/>
        <v>0.97</v>
      </c>
      <c r="F34" s="60">
        <f t="shared" si="3"/>
        <v>0.97</v>
      </c>
      <c r="G34" s="60">
        <f t="shared" si="3"/>
        <v>0.97</v>
      </c>
      <c r="H34" s="60">
        <f t="shared" si="3"/>
        <v>0.97</v>
      </c>
      <c r="I34" s="60">
        <f t="shared" si="3"/>
        <v>0.97</v>
      </c>
      <c r="J34" s="60">
        <f t="shared" si="3"/>
        <v>0.97</v>
      </c>
      <c r="K34" s="60">
        <f t="shared" si="3"/>
        <v>0.97</v>
      </c>
      <c r="L34" s="60">
        <f t="shared" si="3"/>
        <v>0.97</v>
      </c>
      <c r="M34" s="60">
        <f t="shared" si="3"/>
        <v>0.97</v>
      </c>
      <c r="N34" s="60">
        <f t="shared" si="3"/>
        <v>0.97</v>
      </c>
      <c r="O34" s="60">
        <f t="shared" si="3"/>
        <v>0.97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/xRfby1JrvDUPCtZ+Px43bpsa840I8IVWCekDWD3OKeKXIhDu5DGtwPL4Y95Jv20Ps8Jr/6BLUxyvUmVZAoqFQ==" saltValue="goTeMJ3yxRp9aGaxWX5HQ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wAjgHwHMH2fn7x2QJZHspnP9sHpJEvmk4d7RhkRgDzVs0pprHFYhxn8PQaaWbVuzCwQzNwuc56B/py+EGqWF7w==" saltValue="oZejzF6eQAnCaPN1+yKgw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k5qFcxr/iT4LlsmVdcpFjVC8+xrRZzd4b2D0FkRXcrzN8cF4YT0Y10rI85lO6OrQrECOdK262RE7QcjBUOUKOQ==" saltValue="rOzME+42g2kChHqMIj/cW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ypcb+JjSGtWEvzsiAKcDXs6KjIGiMNrrFZGyV67cQTELZhAD2/AnGDHMu3xcVoE/Sx+eQfwkIdvohK3W7IpBw==" saltValue="BiVhm0rQHTlSBb2R74bFD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YZTcS3Jfvfi6UovHcbYD7MlojlkLPoQffL0k7kiZaX5ZEbdv9jG2XaS4ycpXj1ZTJ8a1S9pKIjuHEfptm5Q7eg==" saltValue="/uYTdQzlzTTCRfQ+fcx8o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ksdzeWXaCOFsaUxIHc0ljtO9QyifMrak3rck8+8GhGU2KF8s2DGKT3G8Jc/UmuxxygtmY67HKXRdIfqUs6Z3Vg==" saltValue="zDt5UWuq27j11aCbwaS2E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46241.553599999992</v>
      </c>
      <c r="C2" s="49">
        <v>63000</v>
      </c>
      <c r="D2" s="49">
        <v>117000</v>
      </c>
      <c r="E2" s="49">
        <v>93000</v>
      </c>
      <c r="F2" s="49">
        <v>47000</v>
      </c>
      <c r="G2" s="17">
        <f t="shared" ref="G2:G11" si="0">C2+D2+E2+F2</f>
        <v>320000</v>
      </c>
      <c r="H2" s="17">
        <f t="shared" ref="H2:H11" si="1">(B2 + stillbirth*B2/(1000-stillbirth))/(1-abortion)</f>
        <v>53351.716138654752</v>
      </c>
      <c r="I2" s="17">
        <f t="shared" ref="I2:I11" si="2">G2-H2</f>
        <v>266648.28386134526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47101.014799999997</v>
      </c>
      <c r="C3" s="50">
        <v>67000</v>
      </c>
      <c r="D3" s="50">
        <v>121000</v>
      </c>
      <c r="E3" s="50">
        <v>96000</v>
      </c>
      <c r="F3" s="50">
        <v>48000</v>
      </c>
      <c r="G3" s="17">
        <f t="shared" si="0"/>
        <v>332000</v>
      </c>
      <c r="H3" s="17">
        <f t="shared" si="1"/>
        <v>54343.329231312346</v>
      </c>
      <c r="I3" s="17">
        <f t="shared" si="2"/>
        <v>277656.67076868768</v>
      </c>
    </row>
    <row r="4" spans="1:9" ht="15.75" customHeight="1" x14ac:dyDescent="0.25">
      <c r="A4" s="5">
        <f t="shared" si="3"/>
        <v>2023</v>
      </c>
      <c r="B4" s="49">
        <v>47923.289599999996</v>
      </c>
      <c r="C4" s="50">
        <v>70000</v>
      </c>
      <c r="D4" s="50">
        <v>125000</v>
      </c>
      <c r="E4" s="50">
        <v>99000</v>
      </c>
      <c r="F4" s="50">
        <v>49000</v>
      </c>
      <c r="G4" s="17">
        <f t="shared" si="0"/>
        <v>343000</v>
      </c>
      <c r="H4" s="17">
        <f t="shared" si="1"/>
        <v>55292.038093844356</v>
      </c>
      <c r="I4" s="17">
        <f t="shared" si="2"/>
        <v>287707.96190615563</v>
      </c>
    </row>
    <row r="5" spans="1:9" ht="15.75" customHeight="1" x14ac:dyDescent="0.25">
      <c r="A5" s="5">
        <f t="shared" si="3"/>
        <v>2024</v>
      </c>
      <c r="B5" s="49">
        <v>48708.377999999997</v>
      </c>
      <c r="C5" s="50">
        <v>73000</v>
      </c>
      <c r="D5" s="50">
        <v>131000</v>
      </c>
      <c r="E5" s="50">
        <v>103000</v>
      </c>
      <c r="F5" s="50">
        <v>50000</v>
      </c>
      <c r="G5" s="17">
        <f t="shared" si="0"/>
        <v>357000</v>
      </c>
      <c r="H5" s="17">
        <f t="shared" si="1"/>
        <v>56197.842726250798</v>
      </c>
      <c r="I5" s="17">
        <f t="shared" si="2"/>
        <v>300802.15727374918</v>
      </c>
    </row>
    <row r="6" spans="1:9" ht="15.75" customHeight="1" x14ac:dyDescent="0.25">
      <c r="A6" s="5">
        <f t="shared" si="3"/>
        <v>2025</v>
      </c>
      <c r="B6" s="49">
        <v>49486.51</v>
      </c>
      <c r="C6" s="50">
        <v>76000</v>
      </c>
      <c r="D6" s="50">
        <v>136000</v>
      </c>
      <c r="E6" s="50">
        <v>107000</v>
      </c>
      <c r="F6" s="50">
        <v>53000</v>
      </c>
      <c r="G6" s="17">
        <f t="shared" si="0"/>
        <v>372000</v>
      </c>
      <c r="H6" s="17">
        <f t="shared" si="1"/>
        <v>57095.62133337796</v>
      </c>
      <c r="I6" s="17">
        <f t="shared" si="2"/>
        <v>314904.37866662204</v>
      </c>
    </row>
    <row r="7" spans="1:9" ht="15.75" customHeight="1" x14ac:dyDescent="0.25">
      <c r="A7" s="5">
        <f t="shared" si="3"/>
        <v>2026</v>
      </c>
      <c r="B7" s="49">
        <v>50181.001200000013</v>
      </c>
      <c r="C7" s="50">
        <v>78000</v>
      </c>
      <c r="D7" s="50">
        <v>139000</v>
      </c>
      <c r="E7" s="50">
        <v>110000</v>
      </c>
      <c r="F7" s="50">
        <v>56000</v>
      </c>
      <c r="G7" s="17">
        <f t="shared" si="0"/>
        <v>383000</v>
      </c>
      <c r="H7" s="17">
        <f t="shared" si="1"/>
        <v>57896.898420296471</v>
      </c>
      <c r="I7" s="17">
        <f t="shared" si="2"/>
        <v>325103.10157970351</v>
      </c>
    </row>
    <row r="8" spans="1:9" ht="15.75" customHeight="1" x14ac:dyDescent="0.25">
      <c r="A8" s="5">
        <f t="shared" si="3"/>
        <v>2027</v>
      </c>
      <c r="B8" s="49">
        <v>50866.843999999997</v>
      </c>
      <c r="C8" s="50">
        <v>81000</v>
      </c>
      <c r="D8" s="50">
        <v>143000</v>
      </c>
      <c r="E8" s="50">
        <v>113000</v>
      </c>
      <c r="F8" s="50">
        <v>59000</v>
      </c>
      <c r="G8" s="17">
        <f t="shared" si="0"/>
        <v>396000</v>
      </c>
      <c r="H8" s="17">
        <f t="shared" si="1"/>
        <v>58688.197317774247</v>
      </c>
      <c r="I8" s="17">
        <f t="shared" si="2"/>
        <v>337311.80268222577</v>
      </c>
    </row>
    <row r="9" spans="1:9" ht="15.75" customHeight="1" x14ac:dyDescent="0.25">
      <c r="A9" s="5">
        <f t="shared" si="3"/>
        <v>2028</v>
      </c>
      <c r="B9" s="49">
        <v>51513.808400000009</v>
      </c>
      <c r="C9" s="50">
        <v>83000</v>
      </c>
      <c r="D9" s="50">
        <v>148000</v>
      </c>
      <c r="E9" s="50">
        <v>116000</v>
      </c>
      <c r="F9" s="50">
        <v>63000</v>
      </c>
      <c r="G9" s="17">
        <f t="shared" si="0"/>
        <v>410000</v>
      </c>
      <c r="H9" s="17">
        <f t="shared" si="1"/>
        <v>59434.639820965043</v>
      </c>
      <c r="I9" s="17">
        <f t="shared" si="2"/>
        <v>350565.36017903493</v>
      </c>
    </row>
    <row r="10" spans="1:9" ht="15.75" customHeight="1" x14ac:dyDescent="0.25">
      <c r="A10" s="5">
        <f t="shared" si="3"/>
        <v>2029</v>
      </c>
      <c r="B10" s="49">
        <v>52121.894399999997</v>
      </c>
      <c r="C10" s="50">
        <v>86000</v>
      </c>
      <c r="D10" s="50">
        <v>153000</v>
      </c>
      <c r="E10" s="50">
        <v>120000</v>
      </c>
      <c r="F10" s="50">
        <v>67000</v>
      </c>
      <c r="G10" s="17">
        <f t="shared" si="0"/>
        <v>426000</v>
      </c>
      <c r="H10" s="17">
        <f t="shared" si="1"/>
        <v>60136.22592986883</v>
      </c>
      <c r="I10" s="17">
        <f t="shared" si="2"/>
        <v>365863.77407013118</v>
      </c>
    </row>
    <row r="11" spans="1:9" ht="15.75" customHeight="1" x14ac:dyDescent="0.25">
      <c r="A11" s="5">
        <f t="shared" si="3"/>
        <v>2030</v>
      </c>
      <c r="B11" s="49">
        <v>52691.101999999999</v>
      </c>
      <c r="C11" s="50">
        <v>88000</v>
      </c>
      <c r="D11" s="50">
        <v>157000</v>
      </c>
      <c r="E11" s="50">
        <v>124000</v>
      </c>
      <c r="F11" s="50">
        <v>70000</v>
      </c>
      <c r="G11" s="17">
        <f t="shared" si="0"/>
        <v>439000</v>
      </c>
      <c r="H11" s="17">
        <f t="shared" si="1"/>
        <v>60792.955644485613</v>
      </c>
      <c r="I11" s="17">
        <f t="shared" si="2"/>
        <v>378207.0443555144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nDnXWrW7gb7lraujnu4iZcDv8CEK+RbnZS217uBgPiUWA3nIdGA7MWlSiyFh9/QBxa/eBEUeR+RLI3UTlL/XmA==" saltValue="8/RNkK/C2srQyjjpACh9y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2.0292658378501498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2.0292658378501498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1.7787918737370472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1.7787918737370472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1.6800506428652775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1.6800506428652775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1.5145589165762634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1.5145589165762634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2.4152405270439554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2.4152405270439554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2.0708388263884396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2.0708388263884396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sVnJYoDem4NwkZT09YZK3fcQ6tCKHBq3cgc9+vpI1zAoAqk7rZjYPbfZOibEpMMdVNkYrdfAK/f9aYwmeDg6CA==" saltValue="a9ow5R7AeoysLAknGoAnc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p6gi3fhq0tIp+PSiSkr1bHm0ibL78rtEtX7IqR8NVJISztPUniVs8uUvWbUOw8YcvjjHY4VIJPyFASf36sPZqA==" saltValue="g1gnISA4kjAEOlPQFX/IL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4/oKRScUKyA2GtZv09eJEg2i8KYF3fymk8KlHh09/7UbzPD4ZoFRidy8CBwH7Y2jwdKqyuIzVS90HpqC8ZFrqg==" saltValue="YMug60gDhxTsoWRCrZSyZ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0.59126043729038757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0.59126043729038757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0.85646621458076588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0.85646621458076588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0.85646621458076588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0.85646621458076588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0.38999153594744634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0.38999153594744634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0.82177433768423569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0.82177433768423569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0.82177433768423569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0.82177433768423569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0.90345013402807151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0.90345013402807151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0.89162509509555987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0.89162509509555987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0.89162509509555987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0.89162509509555987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9w4ukW2NzVqfh0UwJJlOGsg3s+fv7R3JY2MqZAssI2XwFiJ2MeSPhTy0rgTGXUSEWwT2/bESk4Qoeq20Gh7xJA==" saltValue="WSBgPvKnBWfgALbUfrQxg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eu5rrTVXQ9tSI8GZt+XNIPKQgY5KzGMtTUjeP8S/YdM3QuJ0GJZXMfIyOIZ+qpSEbjFfL4sNVrXoTgXY7QAKrA==" saltValue="aU0SP1MgXeWKIXG5TVVRV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0.57152251783423769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0.5415691065384306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0.5415691065384306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0.55191396748175647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0.55191396748175647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0.55191396748175647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0.55191396748175647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0.5952821461609622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0.5952821461609622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0.5952821461609622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0.5952821461609622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0.6747829876805409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0.64759715785168859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0.64759715785168859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0.65706447187928674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0.65706447187928674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0.65706447187928674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0.65706447187928674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0.69586374695863773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0.69586374695863773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0.69586374695863773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0.69586374695863773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0.37846861432737988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0.35035984724569114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0.35035984724569114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0.35991985083349565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0.35991985083349565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0.35991985083349565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0.35991985083349565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0.40172718759754461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0.40172718759754461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0.40172718759754461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0.40172718759754461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0.5475810729936319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0.51736735366218523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0.51736735366218523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0.52778215016527619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0.52778215016527619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0.52778215016527619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0.52778215016527619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0.57167332952598515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0.57167332952598515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0.57167332952598515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0.57167332952598515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0.94373128528723016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0.93692615005630731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0.93692615005630731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0.93934860400703524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0.93934860400703524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0.93934860400703524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0.93934860400703524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0.94870391902058693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0.94870391902058693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0.94870391902058693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0.94870391902058693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0.85643015476234696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0.84084737934872023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0.84084737934872023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0.84635476684335853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0.84635476684335853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0.84635476684335853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0.84635476684335853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0.86803906043811052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0.86803906043811052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0.86803906043811052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0.86803906043811052</v>
      </c>
    </row>
  </sheetData>
  <sheetProtection algorithmName="SHA-512" hashValue="7/a084H7G8LGYPttIFRPxKR3htC9HawaLAedXKNqhLIY95MRKtGy0JN65WeT32iDH6p0O0ey07IvhC8rM3RiJA==" saltValue="pSO+iCYzV9reE0RsLqYMz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0.85373726944842476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0.85301148556541506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0.85462315004582823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0.85742348104084287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0.85041494882596969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0.84592486512739229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0.84898846312369813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0.85407513075546349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0.7683635425035823</v>
      </c>
      <c r="E10" s="90">
        <f>E3*0.9</f>
        <v>0.76771033700887359</v>
      </c>
      <c r="F10" s="90">
        <f>F3*0.9</f>
        <v>0.76916083504124544</v>
      </c>
      <c r="G10" s="90">
        <f>G3*0.9</f>
        <v>0.77168113293675855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0.76537345394337275</v>
      </c>
      <c r="E12" s="90">
        <f>E5*0.9</f>
        <v>0.76133237861465308</v>
      </c>
      <c r="F12" s="90">
        <f>F5*0.9</f>
        <v>0.76408961681132836</v>
      </c>
      <c r="G12" s="90">
        <f>G5*0.9</f>
        <v>0.7686676176799172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0.896424132920846</v>
      </c>
      <c r="E17" s="90">
        <f>E3*1.05</f>
        <v>0.89566205984368585</v>
      </c>
      <c r="F17" s="90">
        <f>F3*1.05</f>
        <v>0.89735430754811962</v>
      </c>
      <c r="G17" s="90">
        <f>G3*1.05</f>
        <v>0.90029465509288509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0.89293569626726821</v>
      </c>
      <c r="E19" s="90">
        <f>E5*1.05</f>
        <v>0.88822110838376189</v>
      </c>
      <c r="F19" s="90">
        <f>F5*1.05</f>
        <v>0.89143788627988307</v>
      </c>
      <c r="G19" s="90">
        <f>G5*1.05</f>
        <v>0.89677888729323674</v>
      </c>
    </row>
  </sheetData>
  <sheetProtection algorithmName="SHA-512" hashValue="/eHN39VXTcv100HHWaTpb+D/Z4wgIRC1toC2Ffdoi5sRozLS0B4/2rBTrkK6dUusqI9DcpLq16iYPa4fSpQtjQ==" saltValue="iwCvMnp6coNP2zGpcx77v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e2BHBR5437LZmL0ZYuHLfJIKf4jmbHg2tLi2gS6C2A0IA9XraSRGXXF99Xy+QzK65My/2L+lUT65vQ3gOBjmIw==" saltValue="lmSZpBhmpDWZBnlxDuPUj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zSk3Nn9pXUU1GuDNatmWgXEquwySDNt7Mjq5Nwfl4iDDbF1/JvHMQfCv4psO2ubnLdLXYoP8dbGE8GzHeJSNzA==" saltValue="Rt6YHYJlSPrHgWGBMvbh6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1.0024559256756931E-2</v>
      </c>
    </row>
    <row r="4" spans="1:8" ht="15.75" customHeight="1" x14ac:dyDescent="0.25">
      <c r="B4" s="19" t="s">
        <v>79</v>
      </c>
      <c r="C4" s="101">
        <v>9.6679763631924334E-2</v>
      </c>
    </row>
    <row r="5" spans="1:8" ht="15.75" customHeight="1" x14ac:dyDescent="0.25">
      <c r="B5" s="19" t="s">
        <v>80</v>
      </c>
      <c r="C5" s="101">
        <v>7.2481780052522038E-2</v>
      </c>
    </row>
    <row r="6" spans="1:8" ht="15.75" customHeight="1" x14ac:dyDescent="0.25">
      <c r="B6" s="19" t="s">
        <v>81</v>
      </c>
      <c r="C6" s="101">
        <v>0.3070462971818726</v>
      </c>
    </row>
    <row r="7" spans="1:8" ht="15.75" customHeight="1" x14ac:dyDescent="0.25">
      <c r="B7" s="19" t="s">
        <v>82</v>
      </c>
      <c r="C7" s="101">
        <v>0.31418211522061812</v>
      </c>
    </row>
    <row r="8" spans="1:8" ht="15.75" customHeight="1" x14ac:dyDescent="0.25">
      <c r="B8" s="19" t="s">
        <v>83</v>
      </c>
      <c r="C8" s="101">
        <v>1.5948282635923398E-2</v>
      </c>
    </row>
    <row r="9" spans="1:8" ht="15.75" customHeight="1" x14ac:dyDescent="0.25">
      <c r="B9" s="19" t="s">
        <v>84</v>
      </c>
      <c r="C9" s="101">
        <v>7.9035157105624143E-2</v>
      </c>
    </row>
    <row r="10" spans="1:8" ht="15.75" customHeight="1" x14ac:dyDescent="0.25">
      <c r="B10" s="19" t="s">
        <v>85</v>
      </c>
      <c r="C10" s="101">
        <v>0.1046020449147585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9.1111232777895484E-2</v>
      </c>
      <c r="D14" s="55">
        <v>9.1111232777895484E-2</v>
      </c>
      <c r="E14" s="55">
        <v>9.1111232777895484E-2</v>
      </c>
      <c r="F14" s="55">
        <v>9.1111232777895484E-2</v>
      </c>
    </row>
    <row r="15" spans="1:8" ht="15.75" customHeight="1" x14ac:dyDescent="0.25">
      <c r="B15" s="19" t="s">
        <v>88</v>
      </c>
      <c r="C15" s="101">
        <v>0.17194216291273609</v>
      </c>
      <c r="D15" s="101">
        <v>0.17194216291273609</v>
      </c>
      <c r="E15" s="101">
        <v>0.17194216291273609</v>
      </c>
      <c r="F15" s="101">
        <v>0.17194216291273609</v>
      </c>
    </row>
    <row r="16" spans="1:8" ht="15.75" customHeight="1" x14ac:dyDescent="0.25">
      <c r="B16" s="19" t="s">
        <v>89</v>
      </c>
      <c r="C16" s="101">
        <v>1.4374290667594139E-2</v>
      </c>
      <c r="D16" s="101">
        <v>1.4374290667594139E-2</v>
      </c>
      <c r="E16" s="101">
        <v>1.4374290667594139E-2</v>
      </c>
      <c r="F16" s="101">
        <v>1.4374290667594139E-2</v>
      </c>
    </row>
    <row r="17" spans="1:8" ht="15.75" customHeight="1" x14ac:dyDescent="0.25">
      <c r="B17" s="19" t="s">
        <v>90</v>
      </c>
      <c r="C17" s="101">
        <v>2.9555080536016218E-2</v>
      </c>
      <c r="D17" s="101">
        <v>2.9555080536016218E-2</v>
      </c>
      <c r="E17" s="101">
        <v>2.9555080536016218E-2</v>
      </c>
      <c r="F17" s="101">
        <v>2.9555080536016218E-2</v>
      </c>
    </row>
    <row r="18" spans="1:8" ht="15.75" customHeight="1" x14ac:dyDescent="0.25">
      <c r="B18" s="19" t="s">
        <v>91</v>
      </c>
      <c r="C18" s="101">
        <v>0.222992071987067</v>
      </c>
      <c r="D18" s="101">
        <v>0.222992071987067</v>
      </c>
      <c r="E18" s="101">
        <v>0.222992071987067</v>
      </c>
      <c r="F18" s="101">
        <v>0.222992071987067</v>
      </c>
    </row>
    <row r="19" spans="1:8" ht="15.75" customHeight="1" x14ac:dyDescent="0.25">
      <c r="B19" s="19" t="s">
        <v>92</v>
      </c>
      <c r="C19" s="101">
        <v>1.7035585034982689E-2</v>
      </c>
      <c r="D19" s="101">
        <v>1.7035585034982689E-2</v>
      </c>
      <c r="E19" s="101">
        <v>1.7035585034982689E-2</v>
      </c>
      <c r="F19" s="101">
        <v>1.7035585034982689E-2</v>
      </c>
    </row>
    <row r="20" spans="1:8" ht="15.75" customHeight="1" x14ac:dyDescent="0.25">
      <c r="B20" s="19" t="s">
        <v>93</v>
      </c>
      <c r="C20" s="101">
        <v>0.20432411553854371</v>
      </c>
      <c r="D20" s="101">
        <v>0.20432411553854371</v>
      </c>
      <c r="E20" s="101">
        <v>0.20432411553854371</v>
      </c>
      <c r="F20" s="101">
        <v>0.20432411553854371</v>
      </c>
    </row>
    <row r="21" spans="1:8" ht="15.75" customHeight="1" x14ac:dyDescent="0.25">
      <c r="B21" s="19" t="s">
        <v>94</v>
      </c>
      <c r="C21" s="101">
        <v>4.9826246991009251E-2</v>
      </c>
      <c r="D21" s="101">
        <v>4.9826246991009251E-2</v>
      </c>
      <c r="E21" s="101">
        <v>4.9826246991009251E-2</v>
      </c>
      <c r="F21" s="101">
        <v>4.9826246991009251E-2</v>
      </c>
    </row>
    <row r="22" spans="1:8" ht="15.75" customHeight="1" x14ac:dyDescent="0.25">
      <c r="B22" s="19" t="s">
        <v>95</v>
      </c>
      <c r="C22" s="101">
        <v>0.19883921355415549</v>
      </c>
      <c r="D22" s="101">
        <v>0.19883921355415549</v>
      </c>
      <c r="E22" s="101">
        <v>0.19883921355415549</v>
      </c>
      <c r="F22" s="101">
        <v>0.19883921355415549</v>
      </c>
    </row>
    <row r="23" spans="1:8" ht="15.75" customHeight="1" x14ac:dyDescent="0.25">
      <c r="B23" s="27" t="s">
        <v>41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8.6943652999999996E-2</v>
      </c>
    </row>
    <row r="27" spans="1:8" ht="15.75" customHeight="1" x14ac:dyDescent="0.25">
      <c r="B27" s="19" t="s">
        <v>102</v>
      </c>
      <c r="C27" s="101">
        <v>8.5220880000000006E-3</v>
      </c>
    </row>
    <row r="28" spans="1:8" ht="15.75" customHeight="1" x14ac:dyDescent="0.25">
      <c r="B28" s="19" t="s">
        <v>103</v>
      </c>
      <c r="C28" s="101">
        <v>0.152896541</v>
      </c>
    </row>
    <row r="29" spans="1:8" ht="15.75" customHeight="1" x14ac:dyDescent="0.25">
      <c r="B29" s="19" t="s">
        <v>104</v>
      </c>
      <c r="C29" s="101">
        <v>0.16599547100000001</v>
      </c>
    </row>
    <row r="30" spans="1:8" ht="15.75" customHeight="1" x14ac:dyDescent="0.25">
      <c r="B30" s="19" t="s">
        <v>2</v>
      </c>
      <c r="C30" s="101">
        <v>0.10566703099999999</v>
      </c>
    </row>
    <row r="31" spans="1:8" ht="15.75" customHeight="1" x14ac:dyDescent="0.25">
      <c r="B31" s="19" t="s">
        <v>105</v>
      </c>
      <c r="C31" s="101">
        <v>0.108493031</v>
      </c>
    </row>
    <row r="32" spans="1:8" ht="15.75" customHeight="1" x14ac:dyDescent="0.25">
      <c r="B32" s="19" t="s">
        <v>106</v>
      </c>
      <c r="C32" s="101">
        <v>1.8539073999999999E-2</v>
      </c>
    </row>
    <row r="33" spans="2:3" ht="15.75" customHeight="1" x14ac:dyDescent="0.25">
      <c r="B33" s="19" t="s">
        <v>107</v>
      </c>
      <c r="C33" s="101">
        <v>8.3873541999999995E-2</v>
      </c>
    </row>
    <row r="34" spans="2:3" ht="15.75" customHeight="1" x14ac:dyDescent="0.25">
      <c r="B34" s="19" t="s">
        <v>108</v>
      </c>
      <c r="C34" s="101">
        <v>0.26906956999999998</v>
      </c>
    </row>
    <row r="35" spans="2:3" ht="15.75" customHeight="1" x14ac:dyDescent="0.25">
      <c r="B35" s="27" t="s">
        <v>41</v>
      </c>
      <c r="C35" s="48">
        <f>SUM(C26:C34)</f>
        <v>1.0000000009999999</v>
      </c>
    </row>
  </sheetData>
  <sheetProtection algorithmName="SHA-512" hashValue="qFwWWEpkqtaLJ/Tu3g9n+3U6xWJz4SP9dNackiPnfj9D7piFI/vV0Y7MCnJxe/zjBREgQeUai0LsQ/s/y8yf9A==" saltValue="MypOKizeyws0lHmr0BJ4D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0.51176168394192467</v>
      </c>
      <c r="D2" s="52">
        <f>IFERROR(1-_xlfn.NORM.DIST(_xlfn.NORM.INV(SUM(D4:D5), 0, 1) + 1, 0, 1, TRUE), "")</f>
        <v>0.51176168394192467</v>
      </c>
      <c r="E2" s="52">
        <f>IFERROR(1-_xlfn.NORM.DIST(_xlfn.NORM.INV(SUM(E4:E5), 0, 1) + 1, 0, 1, TRUE), "")</f>
        <v>0.45681791986706566</v>
      </c>
      <c r="F2" s="52">
        <f>IFERROR(1-_xlfn.NORM.DIST(_xlfn.NORM.INV(SUM(F4:F5), 0, 1) + 1, 0, 1, TRUE), "")</f>
        <v>0.26981463829626573</v>
      </c>
      <c r="G2" s="52">
        <f>IFERROR(1-_xlfn.NORM.DIST(_xlfn.NORM.INV(SUM(G4:G5), 0, 1) + 1, 0, 1, TRUE), "")</f>
        <v>0.24211129681004595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0.33661274221110715</v>
      </c>
      <c r="D3" s="52">
        <f>IFERROR(_xlfn.NORM.DIST(_xlfn.NORM.INV(SUM(D4:D5), 0, 1) + 1, 0, 1, TRUE) - SUM(D4:D5), "")</f>
        <v>0.33661274221110715</v>
      </c>
      <c r="E3" s="52">
        <f>IFERROR(_xlfn.NORM.DIST(_xlfn.NORM.INV(SUM(E4:E5), 0, 1) + 1, 0, 1, TRUE) - SUM(E4:E5), "")</f>
        <v>0.35686400945506846</v>
      </c>
      <c r="F3" s="52">
        <f>IFERROR(_xlfn.NORM.DIST(_xlfn.NORM.INV(SUM(F4:F5), 0, 1) + 1, 0, 1, TRUE) - SUM(F4:F5), "")</f>
        <v>0.38066892199807328</v>
      </c>
      <c r="G3" s="52">
        <f>IFERROR(_xlfn.NORM.DIST(_xlfn.NORM.INV(SUM(G4:G5), 0, 1) + 1, 0, 1, TRUE) - SUM(G4:G5), "")</f>
        <v>0.37598041626208606</v>
      </c>
    </row>
    <row r="4" spans="1:15" ht="15.75" customHeight="1" x14ac:dyDescent="0.25">
      <c r="B4" s="5" t="s">
        <v>114</v>
      </c>
      <c r="C4" s="45">
        <v>8.58190532050008E-2</v>
      </c>
      <c r="D4" s="53">
        <v>8.58190532050008E-2</v>
      </c>
      <c r="E4" s="53">
        <v>0.10849992686993</v>
      </c>
      <c r="F4" s="53">
        <v>0.196529120835613</v>
      </c>
      <c r="G4" s="53">
        <v>0.203917682529314</v>
      </c>
    </row>
    <row r="5" spans="1:15" ht="15.75" customHeight="1" x14ac:dyDescent="0.25">
      <c r="B5" s="5" t="s">
        <v>115</v>
      </c>
      <c r="C5" s="45">
        <v>6.5806520641967403E-2</v>
      </c>
      <c r="D5" s="53">
        <v>6.5806520641967403E-2</v>
      </c>
      <c r="E5" s="53">
        <v>7.7818143807935905E-2</v>
      </c>
      <c r="F5" s="53">
        <v>0.15298731887004799</v>
      </c>
      <c r="G5" s="53">
        <v>0.17799060439855399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0.5611037003185233</v>
      </c>
      <c r="D8" s="52">
        <f>IFERROR(1-_xlfn.NORM.DIST(_xlfn.NORM.INV(SUM(D10:D11), 0, 1) + 1, 0, 1, TRUE), "")</f>
        <v>0.5611037003185233</v>
      </c>
      <c r="E8" s="52">
        <f>IFERROR(1-_xlfn.NORM.DIST(_xlfn.NORM.INV(SUM(E10:E11), 0, 1) + 1, 0, 1, TRUE), "")</f>
        <v>0.49532382510254602</v>
      </c>
      <c r="F8" s="52">
        <f>IFERROR(1-_xlfn.NORM.DIST(_xlfn.NORM.INV(SUM(F10:F11), 0, 1) + 1, 0, 1, TRUE), "")</f>
        <v>0.55443480549473745</v>
      </c>
      <c r="G8" s="52">
        <f>IFERROR(1-_xlfn.NORM.DIST(_xlfn.NORM.INV(SUM(G10:G11), 0, 1) + 1, 0, 1, TRUE), "")</f>
        <v>0.68762994887632833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0.31459866861867092</v>
      </c>
      <c r="D9" s="52">
        <f>IFERROR(_xlfn.NORM.DIST(_xlfn.NORM.INV(SUM(D10:D11), 0, 1) + 1, 0, 1, TRUE) - SUM(D10:D11), "")</f>
        <v>0.31459866861867092</v>
      </c>
      <c r="E9" s="52">
        <f>IFERROR(_xlfn.NORM.DIST(_xlfn.NORM.INV(SUM(E10:E11), 0, 1) + 1, 0, 1, TRUE) - SUM(E10:E11), "")</f>
        <v>0.34316798977380808</v>
      </c>
      <c r="F9" s="52">
        <f>IFERROR(_xlfn.NORM.DIST(_xlfn.NORM.INV(SUM(F10:F11), 0, 1) + 1, 0, 1, TRUE) - SUM(F10:F11), "")</f>
        <v>0.31776971356947803</v>
      </c>
      <c r="G9" s="52">
        <f>IFERROR(_xlfn.NORM.DIST(_xlfn.NORM.INV(SUM(G10:G11), 0, 1) + 1, 0, 1, TRUE) - SUM(G10:G11), "")</f>
        <v>0.24414525937919757</v>
      </c>
    </row>
    <row r="10" spans="1:15" ht="15.75" customHeight="1" x14ac:dyDescent="0.25">
      <c r="B10" s="5" t="s">
        <v>119</v>
      </c>
      <c r="C10" s="45">
        <v>7.4508837978260592E-2</v>
      </c>
      <c r="D10" s="53">
        <v>7.4508837978260592E-2</v>
      </c>
      <c r="E10" s="53">
        <v>0.106223732414144</v>
      </c>
      <c r="F10" s="53">
        <v>8.4788969847719692E-2</v>
      </c>
      <c r="G10" s="53">
        <v>4.7211848659870402E-2</v>
      </c>
    </row>
    <row r="11" spans="1:15" ht="15.75" customHeight="1" x14ac:dyDescent="0.25">
      <c r="B11" s="5" t="s">
        <v>120</v>
      </c>
      <c r="C11" s="45">
        <v>4.9788793084545202E-2</v>
      </c>
      <c r="D11" s="53">
        <v>4.9788793084545202E-2</v>
      </c>
      <c r="E11" s="53">
        <v>5.5284452709501899E-2</v>
      </c>
      <c r="F11" s="53">
        <v>4.3006511088064803E-2</v>
      </c>
      <c r="G11" s="53">
        <v>2.1012943084603702E-2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0.48720162700000003</v>
      </c>
      <c r="D14" s="54">
        <v>0.481282526652</v>
      </c>
      <c r="E14" s="54">
        <v>0.481282526652</v>
      </c>
      <c r="F14" s="54">
        <v>0.54058460914799999</v>
      </c>
      <c r="G14" s="54">
        <v>0.54058460914799999</v>
      </c>
      <c r="H14" s="45">
        <v>0.52100000000000002</v>
      </c>
      <c r="I14" s="55">
        <v>0.52100000000000002</v>
      </c>
      <c r="J14" s="55">
        <v>0.52100000000000002</v>
      </c>
      <c r="K14" s="55">
        <v>0.52100000000000002</v>
      </c>
      <c r="L14" s="45">
        <v>0.42799999999999999</v>
      </c>
      <c r="M14" s="55">
        <v>0.42799999999999999</v>
      </c>
      <c r="N14" s="55">
        <v>0.42799999999999999</v>
      </c>
      <c r="O14" s="55">
        <v>0.42799999999999999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0.20912204155883699</v>
      </c>
      <c r="D15" s="52">
        <f t="shared" si="0"/>
        <v>0.20658138019736461</v>
      </c>
      <c r="E15" s="52">
        <f t="shared" si="0"/>
        <v>0.20658138019736461</v>
      </c>
      <c r="F15" s="52">
        <f t="shared" si="0"/>
        <v>0.23203567236920516</v>
      </c>
      <c r="G15" s="52">
        <f t="shared" si="0"/>
        <v>0.23203567236920516</v>
      </c>
      <c r="H15" s="52">
        <f t="shared" si="0"/>
        <v>0.223629351</v>
      </c>
      <c r="I15" s="52">
        <f t="shared" si="0"/>
        <v>0.223629351</v>
      </c>
      <c r="J15" s="52">
        <f t="shared" si="0"/>
        <v>0.223629351</v>
      </c>
      <c r="K15" s="52">
        <f t="shared" si="0"/>
        <v>0.223629351</v>
      </c>
      <c r="L15" s="52">
        <f t="shared" si="0"/>
        <v>0.18371086799999997</v>
      </c>
      <c r="M15" s="52">
        <f t="shared" si="0"/>
        <v>0.18371086799999997</v>
      </c>
      <c r="N15" s="52">
        <f t="shared" si="0"/>
        <v>0.18371086799999997</v>
      </c>
      <c r="O15" s="52">
        <f t="shared" si="0"/>
        <v>0.18371086799999997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+cleNu+alq30/EGFH7h1b8wCXrYlyYmP+KDaTzuv+VfXq6WrB5aHsRNi0LTOUjK+781lEq/KvlIVzjLYhH/ISg==" saltValue="7+o5EXJla7nEsRwaaQQUm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0.45592287297741801</v>
      </c>
      <c r="D2" s="53">
        <v>0.280937540715686</v>
      </c>
      <c r="E2" s="53"/>
      <c r="F2" s="53"/>
      <c r="G2" s="53"/>
    </row>
    <row r="3" spans="1:7" x14ac:dyDescent="0.25">
      <c r="B3" s="3" t="s">
        <v>130</v>
      </c>
      <c r="C3" s="53">
        <v>0.39208534616123702</v>
      </c>
      <c r="D3" s="53">
        <v>0.41964019980392198</v>
      </c>
      <c r="E3" s="53"/>
      <c r="F3" s="53"/>
      <c r="G3" s="53"/>
    </row>
    <row r="4" spans="1:7" x14ac:dyDescent="0.25">
      <c r="B4" s="3" t="s">
        <v>131</v>
      </c>
      <c r="C4" s="53">
        <v>0.119288975244239</v>
      </c>
      <c r="D4" s="53">
        <v>0.26842458431372501</v>
      </c>
      <c r="E4" s="53">
        <v>0.95333877377126397</v>
      </c>
      <c r="F4" s="53">
        <v>0.71441323901044895</v>
      </c>
      <c r="G4" s="53"/>
    </row>
    <row r="5" spans="1:7" x14ac:dyDescent="0.25">
      <c r="B5" s="3" t="s">
        <v>132</v>
      </c>
      <c r="C5" s="52">
        <v>3.2742075871431603E-2</v>
      </c>
      <c r="D5" s="52">
        <v>3.0851552402768E-2</v>
      </c>
      <c r="E5" s="52">
        <f>1-SUM(E2:E4)</f>
        <v>4.666122622873603E-2</v>
      </c>
      <c r="F5" s="52">
        <f>1-SUM(F2:F4)</f>
        <v>0.28558676098955105</v>
      </c>
      <c r="G5" s="52">
        <f>1-SUM(G2:G4)</f>
        <v>1</v>
      </c>
    </row>
  </sheetData>
  <sheetProtection algorithmName="SHA-512" hashValue="LDHrqbd9hue9XyGCoTWAW4x3desP/d6/iU8LBdSyiUG9UdqLnYZlTBbdOIkB5yv6I4gHZePFyLXLRCre1NwS5Q==" saltValue="vyzgLT5oPQ5DSxeRLrG0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DlsHONCmu/shE8fjRXW1Mxvx+ANCVckl43XVlw4itBw/qpzNsBT9dDEzKPN68F2WaVsPJDuLksKMUVFmlhO0fw==" saltValue="/7Xsy449YMJVJ1etYGhSW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LK/yJZnjn74nRL1QGhm/eoy22EHVllzKhStyLVGUirkFcxjguLm7St2cHU0G2Fyv1qwvNxwAw14DnmWjdKIRCw==" saltValue="yCyS1cqN469o8ZLQhFg58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UQmltMTJJ7QLyA1NFwjLNE216gZ0ei5F0ODHmbnGJ0iDrW7tplyM16Evgc/v29x2fNt6pYzmVbLf/CSYghiCZQ==" saltValue="vsodd6LlN8AAN2uBISzxw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RugjOxKniVEL+pLhs2xTfHmnVzzEBZF/TigKhm4ujlU5QhQ3yL0xU09eMEAlizY1LXZX3XC572Jy+fwkI/qi0A==" saltValue="zdUjOO9Ia8GG6oViYep38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2024-03-15T02:57:44Z</dcterms:modified>
</cp:coreProperties>
</file>