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AF85AC5-5992-4CAE-93CF-E646CF0C0A4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A32" i="2"/>
  <c r="A31" i="2"/>
  <c r="A29" i="2"/>
  <c r="A26" i="2"/>
  <c r="A24" i="2"/>
  <c r="A1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F19" i="26" l="1"/>
  <c r="I2" i="2"/>
  <c r="A18" i="2"/>
  <c r="A34" i="2"/>
  <c r="I40" i="2"/>
  <c r="A21" i="2"/>
  <c r="A37" i="2"/>
  <c r="E10" i="26"/>
  <c r="A3" i="2"/>
  <c r="A23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<sst xmlns="http://schemas.openxmlformats.org/spreadsheetml/2006/main" count="2092" uniqueCount="337">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</sst>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78831.21630859375</v>
      </c>
    </row>
    <row r="8" spans="1:3" ht="15" customHeight="1" x14ac:dyDescent="0.25">
      <c r="B8" s="5" t="s">
        <v>19</v>
      </c>
      <c r="C8" s="44">
        <v>0.14000000000000001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0.85866676330566405</v>
      </c>
    </row>
    <row r="11" spans="1:3" ht="15" customHeight="1" x14ac:dyDescent="0.25">
      <c r="B11" s="5" t="s">
        <v>22</v>
      </c>
      <c r="C11" s="45">
        <v>0.86699999999999999</v>
      </c>
    </row>
    <row r="12" spans="1:3" ht="15" customHeight="1" x14ac:dyDescent="0.25">
      <c r="B12" s="5" t="s">
        <v>23</v>
      </c>
      <c r="C12" s="45">
        <v>0.83599999999999997</v>
      </c>
    </row>
    <row r="13" spans="1:3" ht="15" customHeight="1" x14ac:dyDescent="0.25">
      <c r="B13" s="5" t="s">
        <v>24</v>
      </c>
      <c r="C13" s="45">
        <v>0.47499999999999998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0.17369999999999999</v>
      </c>
    </row>
    <row r="24" spans="1:3" ht="15" customHeight="1" x14ac:dyDescent="0.25">
      <c r="B24" s="15" t="s">
        <v>33</v>
      </c>
      <c r="C24" s="45">
        <v>0.52529999999999999</v>
      </c>
    </row>
    <row r="25" spans="1:3" ht="15" customHeight="1" x14ac:dyDescent="0.25">
      <c r="B25" s="15" t="s">
        <v>34</v>
      </c>
      <c r="C25" s="45">
        <v>0.26540000000000002</v>
      </c>
    </row>
    <row r="26" spans="1:3" ht="15" customHeight="1" x14ac:dyDescent="0.25">
      <c r="B26" s="15" t="s">
        <v>35</v>
      </c>
      <c r="C26" s="45">
        <v>3.5600000000000007E-2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0.33107179959337901</v>
      </c>
    </row>
    <row r="30" spans="1:3" ht="14.25" customHeight="1" x14ac:dyDescent="0.25">
      <c r="B30" s="25" t="s">
        <v>38</v>
      </c>
      <c r="C30" s="99">
        <v>6.1996951218759998E-2</v>
      </c>
    </row>
    <row r="31" spans="1:3" ht="14.25" customHeight="1" x14ac:dyDescent="0.25">
      <c r="B31" s="25" t="s">
        <v>39</v>
      </c>
      <c r="C31" s="99">
        <v>0.10389744339792201</v>
      </c>
    </row>
    <row r="32" spans="1:3" ht="14.25" customHeight="1" x14ac:dyDescent="0.25">
      <c r="B32" s="25" t="s">
        <v>40</v>
      </c>
      <c r="C32" s="99">
        <v>0.50303380578993906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18.600199729681801</v>
      </c>
    </row>
    <row r="38" spans="1:5" ht="15" customHeight="1" x14ac:dyDescent="0.25">
      <c r="B38" s="11" t="s">
        <v>45</v>
      </c>
      <c r="C38" s="43">
        <v>24.4369814181773</v>
      </c>
      <c r="D38" s="12"/>
      <c r="E38" s="13"/>
    </row>
    <row r="39" spans="1:5" ht="15" customHeight="1" x14ac:dyDescent="0.25">
      <c r="B39" s="11" t="s">
        <v>46</v>
      </c>
      <c r="C39" s="43">
        <v>29.251238131398701</v>
      </c>
      <c r="D39" s="12"/>
      <c r="E39" s="12"/>
    </row>
    <row r="40" spans="1:5" ht="15" customHeight="1" x14ac:dyDescent="0.25">
      <c r="B40" s="11" t="s">
        <v>47</v>
      </c>
      <c r="C40" s="100">
        <v>1.69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13.826618249999999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1.04224E-2</v>
      </c>
      <c r="D45" s="12"/>
    </row>
    <row r="46" spans="1:5" ht="15.75" customHeight="1" x14ac:dyDescent="0.25">
      <c r="B46" s="11" t="s">
        <v>52</v>
      </c>
      <c r="C46" s="45">
        <v>0.1046996</v>
      </c>
      <c r="D46" s="12"/>
    </row>
    <row r="47" spans="1:5" ht="15.75" customHeight="1" x14ac:dyDescent="0.25">
      <c r="B47" s="11" t="s">
        <v>53</v>
      </c>
      <c r="C47" s="45">
        <v>5.6081800000000001E-2</v>
      </c>
      <c r="D47" s="12"/>
      <c r="E47" s="13"/>
    </row>
    <row r="48" spans="1:5" ht="15" customHeight="1" x14ac:dyDescent="0.25">
      <c r="B48" s="11" t="s">
        <v>54</v>
      </c>
      <c r="C48" s="46">
        <v>0.82879619999999998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0.56878600000000001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0.15618451</v>
      </c>
    </row>
    <row r="63" spans="1:4" ht="15.75" customHeight="1" x14ac:dyDescent="0.3">
      <c r="A63" s="4"/>
    </row>
  </sheetData>
  <sheetProtection algorithmName="SHA-512" hashValue="NwEhuhyQET23Ovdc5tUU3cxt/0qtAWxURncLxW622/5da6HyhQz1Atr9Cd4kbxkaGv5deeO/3vDLVnvCuhEWIQ==" saltValue="yaVuJPP2LsHS+GsCJIte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0.16244161218404801</v>
      </c>
      <c r="C2" s="98">
        <v>0.95</v>
      </c>
      <c r="D2" s="56">
        <v>60.485902574974247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39.935189433056237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452.91394116290678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0.70869763079820258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13.067488876852151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13.067488876852151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13.067488876852151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13.067488876852151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13.067488876852151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13.067488876852151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0.22429148963544401</v>
      </c>
      <c r="C16" s="98">
        <v>0.95</v>
      </c>
      <c r="D16" s="56">
        <v>0.77775449539503461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10.429698010738489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10.429698010738489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0.43048805239999999</v>
      </c>
      <c r="C21" s="98">
        <v>0.95</v>
      </c>
      <c r="D21" s="56">
        <v>7.1524381906876151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22.579312803378102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1.8211079840000002E-2</v>
      </c>
      <c r="C23" s="98">
        <v>0.95</v>
      </c>
      <c r="D23" s="56">
        <v>4.3139060578863351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0.69391132964633995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0.208320743441582</v>
      </c>
      <c r="C27" s="98">
        <v>0.95</v>
      </c>
      <c r="D27" s="56">
        <v>18.690391823443861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0.42493019999999998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119.254602366377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1.867912036673709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0.2237922</v>
      </c>
      <c r="C32" s="98">
        <v>0.95</v>
      </c>
      <c r="D32" s="56">
        <v>1.6681309666930351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0.85763101501516403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1.28821805119515E-2</v>
      </c>
      <c r="C38" s="98">
        <v>0.95</v>
      </c>
      <c r="D38" s="56">
        <v>2.4011122949653489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0.40285890000000002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bY28SakUOBYnDBwA8ztsnbS465ksZjjhW4NsICve56r09uOhiP5AFzQt9DIqhJVgvSkJeKkQF0pcvLirycpGw==" saltValue="DETAAV3ioD3sLzr6bhez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vKliakGKZih4tmlEBRZVQRvsO75Yv19oj+7UuPu1PQU3uaeIH00DU9hmvcmwQ7FOYE9fXMBjJasFqDfvQF215g==" saltValue="Y8NqcAtWfFHy+kOMKOgoK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Q7l13HQk+HnRAZ/+qMnE/K/Lf28WE/eiAyuy1wKODh2a58/vAcFrNFYdgcdpIs5Thn1Gwx7xh3oMIFr2XCjc7w==" saltValue="obbIEN9rTjZjEO8me02m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0.12967841550707809</v>
      </c>
      <c r="C3" s="21">
        <f>frac_mam_1_5months * 2.6</f>
        <v>0.12967841550707809</v>
      </c>
      <c r="D3" s="21">
        <f>frac_mam_6_11months * 2.6</f>
        <v>0.15177383050322532</v>
      </c>
      <c r="E3" s="21">
        <f>frac_mam_12_23months * 2.6</f>
        <v>9.3613449484109879E-2</v>
      </c>
      <c r="F3" s="21">
        <f>frac_mam_24_59months * 2.6</f>
        <v>0.12608858421444893</v>
      </c>
    </row>
    <row r="4" spans="1:6" ht="15.75" customHeight="1" x14ac:dyDescent="0.25">
      <c r="A4" s="3" t="s">
        <v>208</v>
      </c>
      <c r="B4" s="21">
        <f>frac_sam_1month * 2.6</f>
        <v>5.9378301724791402E-2</v>
      </c>
      <c r="C4" s="21">
        <f>frac_sam_1_5months * 2.6</f>
        <v>5.9378301724791402E-2</v>
      </c>
      <c r="D4" s="21">
        <f>frac_sam_6_11months * 2.6</f>
        <v>4.9492134153842904E-2</v>
      </c>
      <c r="E4" s="21">
        <f>frac_sam_12_23months * 2.6</f>
        <v>4.3826863542199147E-2</v>
      </c>
      <c r="F4" s="21">
        <f>frac_sam_24_59months * 2.6</f>
        <v>4.17029663920402E-2</v>
      </c>
    </row>
  </sheetData>
  <sheetProtection algorithmName="SHA-512" hashValue="/kjckXnnDTMslXfHv72mJVWSJLky4xOJ7D1R/nX7bZDnJnS5QTxaXG0OPNowvD82mFWY+ZA35+C9Ue0jmVtjfQ==" saltValue="ZlP/sX2h6dn3UXT/C+XW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0.14000000000000001</v>
      </c>
      <c r="E2" s="60">
        <f>food_insecure</f>
        <v>0.14000000000000001</v>
      </c>
      <c r="F2" s="60">
        <f>food_insecure</f>
        <v>0.14000000000000001</v>
      </c>
      <c r="G2" s="60">
        <f>food_insecure</f>
        <v>0.14000000000000001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0.14000000000000001</v>
      </c>
      <c r="F5" s="60">
        <f>food_insecure</f>
        <v>0.14000000000000001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0.14000000000000001</v>
      </c>
      <c r="F8" s="60">
        <f>food_insecure</f>
        <v>0.14000000000000001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0.14000000000000001</v>
      </c>
      <c r="F9" s="60">
        <f>food_insecure</f>
        <v>0.14000000000000001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0.83599999999999997</v>
      </c>
      <c r="E10" s="60">
        <f>IF(ISBLANK(comm_deliv), frac_children_health_facility,1)</f>
        <v>0.83599999999999997</v>
      </c>
      <c r="F10" s="60">
        <f>IF(ISBLANK(comm_deliv), frac_children_health_facility,1)</f>
        <v>0.83599999999999997</v>
      </c>
      <c r="G10" s="60">
        <f>IF(ISBLANK(comm_deliv), frac_children_health_facility,1)</f>
        <v>0.83599999999999997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0.14000000000000001</v>
      </c>
      <c r="I15" s="60">
        <f>food_insecure</f>
        <v>0.14000000000000001</v>
      </c>
      <c r="J15" s="60">
        <f>food_insecure</f>
        <v>0.14000000000000001</v>
      </c>
      <c r="K15" s="60">
        <f>food_insecure</f>
        <v>0.14000000000000001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0.86699999999999999</v>
      </c>
      <c r="I18" s="60">
        <f>frac_PW_health_facility</f>
        <v>0.86699999999999999</v>
      </c>
      <c r="J18" s="60">
        <f>frac_PW_health_facility</f>
        <v>0.86699999999999999</v>
      </c>
      <c r="K18" s="60">
        <f>frac_PW_health_facility</f>
        <v>0.86699999999999999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0.47499999999999998</v>
      </c>
      <c r="M24" s="60">
        <f>famplan_unmet_need</f>
        <v>0.47499999999999998</v>
      </c>
      <c r="N24" s="60">
        <f>famplan_unmet_need</f>
        <v>0.47499999999999998</v>
      </c>
      <c r="O24" s="60">
        <f>famplan_unmet_need</f>
        <v>0.47499999999999998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7.3408483139038097E-2</v>
      </c>
      <c r="M25" s="60">
        <f>(1-food_insecure)*(0.49)+food_insecure*(0.7)</f>
        <v>0.51939999999999997</v>
      </c>
      <c r="N25" s="60">
        <f>(1-food_insecure)*(0.49)+food_insecure*(0.7)</f>
        <v>0.51939999999999997</v>
      </c>
      <c r="O25" s="60">
        <f>(1-food_insecure)*(0.49)+food_insecure*(0.7)</f>
        <v>0.51939999999999997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3.1460778488159181E-2</v>
      </c>
      <c r="M26" s="60">
        <f>(1-food_insecure)*(0.21)+food_insecure*(0.3)</f>
        <v>0.22259999999999999</v>
      </c>
      <c r="N26" s="60">
        <f>(1-food_insecure)*(0.21)+food_insecure*(0.3)</f>
        <v>0.22259999999999999</v>
      </c>
      <c r="O26" s="60">
        <f>(1-food_insecure)*(0.21)+food_insecure*(0.3)</f>
        <v>0.22259999999999999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3.6463975067138679E-2</v>
      </c>
      <c r="M27" s="60">
        <f>(1-food_insecure)*(0.3)</f>
        <v>0.25800000000000001</v>
      </c>
      <c r="N27" s="60">
        <f>(1-food_insecure)*(0.3)</f>
        <v>0.25800000000000001</v>
      </c>
      <c r="O27" s="60">
        <f>(1-food_insecure)*(0.3)</f>
        <v>0.25800000000000001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0.85866676330566405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B8f65AP+4GXD+6wpUUKdESDcPIHfE2QD8fE9AGn/PLZdCzcpkl68B5/bCYmU01fSBYQsVSp3S5Wh7A8besLTg==" saltValue="V4tXUsciGxxgQXMUBlV2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bNJVAGp9+0W5dQVBtWGOiOuZxl5ykrE9AJamqa2JN3X4bK3L7W0FwpoPD9aAf2LMyaZAxVh0drQ8bkJguQzSkw==" saltValue="9p4rMrxyLLSjBf405PRk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1AcZHSQ2AC/3mvATBCRbdyjQEY8wuTUaN6JxI+tG4Fe1YKkQJ7XQHq3P7aP0sE8DF0KDu8SCC3Bv1tdkHyDvQ==" saltValue="jlcJ0XPTD6P7AqI9z5f2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BXhm3srUXnIi+OppciWUmQ9opEmuIQmbncWxgg8xnZXRrKsbBw6YSJylFrIr1bxfeiM1VcR8xX6xQRIHvIK+A==" saltValue="GSGB1V/2OiQqRHi+uEAvx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CI5rZ2YIppjtxTgIXnwA8lAw5o2hZ1lzZbwNtXcskQhZQ6CpPtYlH+Ua0kAE6AigCPvkAwCDbde0qlnMrkdvg==" saltValue="qn7AvmsL3Ru99yi06OVPa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7qcLGCPDcG88TvD0T3BxLiCCdpuBpUi6p2mTnG2Iu7pxC/sjqpi7JYvlGIfNhXY+GFin29ArrgIOhmxOQVxt+g==" saltValue="V62fAfA4ADLBXcEazKUac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15459.888000000001</v>
      </c>
      <c r="C2" s="49">
        <v>36000</v>
      </c>
      <c r="D2" s="49">
        <v>73000</v>
      </c>
      <c r="E2" s="49">
        <v>46000</v>
      </c>
      <c r="F2" s="49">
        <v>48000</v>
      </c>
      <c r="G2" s="17">
        <f t="shared" ref="G2:G11" si="0">C2+D2+E2+F2</f>
        <v>203000</v>
      </c>
      <c r="H2" s="17">
        <f t="shared" ref="H2:H11" si="1">(B2 + stillbirth*B2/(1000-stillbirth))/(1-abortion)</f>
        <v>17814.366997291494</v>
      </c>
      <c r="I2" s="17">
        <f t="shared" ref="I2:I11" si="2">G2-H2</f>
        <v>185185.63300270849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15323.0622</v>
      </c>
      <c r="C3" s="50">
        <v>35000</v>
      </c>
      <c r="D3" s="50">
        <v>73000</v>
      </c>
      <c r="E3" s="50">
        <v>48000</v>
      </c>
      <c r="F3" s="50">
        <v>49000</v>
      </c>
      <c r="G3" s="17">
        <f t="shared" si="0"/>
        <v>205000</v>
      </c>
      <c r="H3" s="17">
        <f t="shared" si="1"/>
        <v>17656.703176188908</v>
      </c>
      <c r="I3" s="17">
        <f t="shared" si="2"/>
        <v>187343.29682381108</v>
      </c>
    </row>
    <row r="4" spans="1:9" ht="15.75" customHeight="1" x14ac:dyDescent="0.25">
      <c r="A4" s="5">
        <f t="shared" si="3"/>
        <v>2023</v>
      </c>
      <c r="B4" s="49">
        <v>15184.087600000001</v>
      </c>
      <c r="C4" s="50">
        <v>35000</v>
      </c>
      <c r="D4" s="50">
        <v>72000</v>
      </c>
      <c r="E4" s="50">
        <v>49000</v>
      </c>
      <c r="F4" s="50">
        <v>49000</v>
      </c>
      <c r="G4" s="17">
        <f t="shared" si="0"/>
        <v>205000</v>
      </c>
      <c r="H4" s="17">
        <f t="shared" si="1"/>
        <v>17496.563301456194</v>
      </c>
      <c r="I4" s="17">
        <f t="shared" si="2"/>
        <v>187503.43669854381</v>
      </c>
    </row>
    <row r="5" spans="1:9" ht="15.75" customHeight="1" x14ac:dyDescent="0.25">
      <c r="A5" s="5">
        <f t="shared" si="3"/>
        <v>2024</v>
      </c>
      <c r="B5" s="49">
        <v>15042.9642</v>
      </c>
      <c r="C5" s="50">
        <v>34000</v>
      </c>
      <c r="D5" s="50">
        <v>70000</v>
      </c>
      <c r="E5" s="50">
        <v>51000</v>
      </c>
      <c r="F5" s="50">
        <v>48000</v>
      </c>
      <c r="G5" s="17">
        <f t="shared" si="0"/>
        <v>203000</v>
      </c>
      <c r="H5" s="17">
        <f t="shared" si="1"/>
        <v>17333.947373093353</v>
      </c>
      <c r="I5" s="17">
        <f t="shared" si="2"/>
        <v>185666.05262690666</v>
      </c>
    </row>
    <row r="6" spans="1:9" ht="15.75" customHeight="1" x14ac:dyDescent="0.25">
      <c r="A6" s="5">
        <f t="shared" si="3"/>
        <v>2025</v>
      </c>
      <c r="B6" s="49">
        <v>14899.691999999999</v>
      </c>
      <c r="C6" s="50">
        <v>34000</v>
      </c>
      <c r="D6" s="50">
        <v>69000</v>
      </c>
      <c r="E6" s="50">
        <v>53000</v>
      </c>
      <c r="F6" s="50">
        <v>47000</v>
      </c>
      <c r="G6" s="17">
        <f t="shared" si="0"/>
        <v>203000</v>
      </c>
      <c r="H6" s="17">
        <f t="shared" si="1"/>
        <v>17168.85539110038</v>
      </c>
      <c r="I6" s="17">
        <f t="shared" si="2"/>
        <v>185831.14460889963</v>
      </c>
    </row>
    <row r="7" spans="1:9" ht="15.75" customHeight="1" x14ac:dyDescent="0.25">
      <c r="A7" s="5">
        <f t="shared" si="3"/>
        <v>2026</v>
      </c>
      <c r="B7" s="49">
        <v>14735.6792</v>
      </c>
      <c r="C7" s="50">
        <v>33000</v>
      </c>
      <c r="D7" s="50">
        <v>68000</v>
      </c>
      <c r="E7" s="50">
        <v>55000</v>
      </c>
      <c r="F7" s="50">
        <v>46000</v>
      </c>
      <c r="G7" s="17">
        <f t="shared" si="0"/>
        <v>202000</v>
      </c>
      <c r="H7" s="17">
        <f t="shared" si="1"/>
        <v>16979.864098831422</v>
      </c>
      <c r="I7" s="17">
        <f t="shared" si="2"/>
        <v>185020.13590116857</v>
      </c>
    </row>
    <row r="8" spans="1:9" ht="15.75" customHeight="1" x14ac:dyDescent="0.25">
      <c r="A8" s="5">
        <f t="shared" si="3"/>
        <v>2027</v>
      </c>
      <c r="B8" s="49">
        <v>14570.0512</v>
      </c>
      <c r="C8" s="50">
        <v>33000</v>
      </c>
      <c r="D8" s="50">
        <v>67000</v>
      </c>
      <c r="E8" s="50">
        <v>58000</v>
      </c>
      <c r="F8" s="50">
        <v>45000</v>
      </c>
      <c r="G8" s="17">
        <f t="shared" si="0"/>
        <v>203000</v>
      </c>
      <c r="H8" s="17">
        <f t="shared" si="1"/>
        <v>16789.011618074292</v>
      </c>
      <c r="I8" s="17">
        <f t="shared" si="2"/>
        <v>186210.98838192571</v>
      </c>
    </row>
    <row r="9" spans="1:9" ht="15.75" customHeight="1" x14ac:dyDescent="0.25">
      <c r="A9" s="5">
        <f t="shared" si="3"/>
        <v>2028</v>
      </c>
      <c r="B9" s="49">
        <v>14402.808000000001</v>
      </c>
      <c r="C9" s="50">
        <v>34000</v>
      </c>
      <c r="D9" s="50">
        <v>65000</v>
      </c>
      <c r="E9" s="50">
        <v>61000</v>
      </c>
      <c r="F9" s="50">
        <v>44000</v>
      </c>
      <c r="G9" s="17">
        <f t="shared" si="0"/>
        <v>204000</v>
      </c>
      <c r="H9" s="17">
        <f t="shared" si="1"/>
        <v>16596.297948828989</v>
      </c>
      <c r="I9" s="17">
        <f t="shared" si="2"/>
        <v>187403.70205117101</v>
      </c>
    </row>
    <row r="10" spans="1:9" ht="15.75" customHeight="1" x14ac:dyDescent="0.25">
      <c r="A10" s="5">
        <f t="shared" si="3"/>
        <v>2029</v>
      </c>
      <c r="B10" s="49">
        <v>14233.9496</v>
      </c>
      <c r="C10" s="50">
        <v>34000</v>
      </c>
      <c r="D10" s="50">
        <v>65000</v>
      </c>
      <c r="E10" s="50">
        <v>62000</v>
      </c>
      <c r="F10" s="50">
        <v>42000</v>
      </c>
      <c r="G10" s="17">
        <f t="shared" si="0"/>
        <v>203000</v>
      </c>
      <c r="H10" s="17">
        <f t="shared" si="1"/>
        <v>16401.723091095515</v>
      </c>
      <c r="I10" s="17">
        <f t="shared" si="2"/>
        <v>186598.27690890449</v>
      </c>
    </row>
    <row r="11" spans="1:9" ht="15.75" customHeight="1" x14ac:dyDescent="0.25">
      <c r="A11" s="5">
        <f t="shared" si="3"/>
        <v>2030</v>
      </c>
      <c r="B11" s="49">
        <v>14046.45</v>
      </c>
      <c r="C11" s="50">
        <v>34000</v>
      </c>
      <c r="D11" s="50">
        <v>63000</v>
      </c>
      <c r="E11" s="50">
        <v>64000</v>
      </c>
      <c r="F11" s="50">
        <v>43000</v>
      </c>
      <c r="G11" s="17">
        <f t="shared" si="0"/>
        <v>204000</v>
      </c>
      <c r="H11" s="17">
        <f t="shared" si="1"/>
        <v>16185.668053294119</v>
      </c>
      <c r="I11" s="17">
        <f t="shared" si="2"/>
        <v>187814.33194670588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wk/MJ75BJ5E4ebvlc2mKL6RBqJwLxcN4chMzJKav4LsYW7AVCLNEQ/JtOOM3rLL1YAhJfxNDpdIxeQxHvIJGQ==" saltValue="IP7/7afOkqY+WbCzlqpTb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1.9144026658412108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1.9144026658412108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1.721456290441812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1.721456290441812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1.6041589042165145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1.6041589042165145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1.4766764776133401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1.4766764776133401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2.2573036655316647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2.2573036655316647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1.9920023993574916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1.9920023993574916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fu5fEIJyCn1jtLBlmjjxW6R8MiLHTd6JkE+dalNn752hKHUE/3Dnywfsr5inn4Hrcuxf3MedmWiuxbOUkvI+eA==" saltValue="HRjWGH/m+kEQsF3ZNdnIH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zmMiDXd9sm5sl7NqCy+2UEmSyf6XwTN9H+WvMcqpCz/Cy/vX4l+pgY7ANTSoTXPNNSL4Ohj4VC0IOIosu8wCA==" saltValue="5fgREwB4DmGbA392DQjd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hSzeWQYx8jxO/78NXjyJmyTrF6ZfBRMbBV83tZi9i3MFvLDe56jzuq9g2kh0iiwjRjJC4dKfGz0pKwlbzoyJw==" saltValue="h+vb2AS2Dl92As4WGwpH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0.62564932999620648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0.62564932999620648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0.87332279461172513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0.87332279461172513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0.87332279461172513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0.87332279461172513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0.42484158675485123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0.42484158675485123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0.84195329732564961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0.84195329732564961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0.84195329732564961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0.84195329732564961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0.91533438971493919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0.91533438971493919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0.90481152977518964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0.90481152977518964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0.90481152977518964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0.90481152977518964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WRwE8Q34I4wxKsMSWQoCc6WHBY2+Uj01YnkL5osbsknpiKuitVaNaFOXNupWGYgSPimL5VQNBuysDQ440IGQQ==" saltValue="Ht5Ars3tRRFIdo1RV+0a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w4NU7MGtgm70edH5qX4jSE1ij7QPukUCVMOWH76HElBJCufICAW4UYspu/TXm+iZ1j2OnzikbIZimmAPbHEfw==" saltValue="1Jb2qscgjipeTQUfbpG4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0.51843417546445025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0.62696003084120999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0.62696003084120999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0.64578483959113453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0.64578483959113453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0.64578483959113453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0.64578483959113453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0.63446475195822449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0.63446475195822449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0.63446475195822449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0.63446475195822449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0.62611900163594658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0.72332797575859431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0.72332797575859431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0.73931178310740375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0.73931178310740375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0.73931178310740375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0.73931178310740375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0.72972972972972983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0.72972972972972983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0.72972972972972983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0.72972972972972983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0.32952176827301416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0.43415422351815125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0.43415422351815125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0.45423913817241313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0.45423913817241313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0.45423913817241313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0.45423913817241313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0.44208611279563381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0.44208611279563381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0.44208611279563381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0.44208611279563381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0.49415186424496987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0.60396973971113999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0.60396973971113999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0.62325756624387796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0.62325756624387796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0.62325756624387796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0.62325756624387796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0.61165048543689327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0.61165048543689327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0.61165048543689327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0.61165048543689327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0.93120876939878383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0.95481853209898448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0.95481853209898448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0.95820155211569824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0.95820155211569824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0.95820155211569824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0.95820155211569824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0.95618838992332966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0.95618838992332966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0.95618838992332966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0.95618838992332966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0.82801949410643216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0.88257901165479791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0.88257901165479791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0.89075217130059559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0.89075217130059559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0.89075217130059559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0.89075217130059559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0.88587731811697601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0.88587731811697601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0.88587731811697601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0.88587731811697601</v>
      </c>
    </row>
  </sheetData>
  <sheetProtection algorithmName="SHA-512" hashValue="/3/MyFGcAhzvZTd6Q8qGp94vDXoxjv6phyre2cVatjKpxggu1UhUsQPjZ5382Jwt27RxAVpMLBT0wJSKPLVj3w==" saltValue="4B+DgZYTmNxthGyu/7DT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0.85719524096148614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0.85766999011098122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0.85794062520099335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0.85804182062388701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0.85372576721786031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0.85260021954067067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0.85552645637340463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0.85390701316485174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0.77147571686533756</v>
      </c>
      <c r="E10" s="90">
        <f>E3*0.9</f>
        <v>0.77190299109988314</v>
      </c>
      <c r="F10" s="90">
        <f>F3*0.9</f>
        <v>0.77214656268089399</v>
      </c>
      <c r="G10" s="90">
        <f>G3*0.9</f>
        <v>0.7722376385614983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0.76835319049607431</v>
      </c>
      <c r="E12" s="90">
        <f>E5*0.9</f>
        <v>0.76734019758660366</v>
      </c>
      <c r="F12" s="90">
        <f>F5*0.9</f>
        <v>0.76997381073606419</v>
      </c>
      <c r="G12" s="90">
        <f>G5*0.9</f>
        <v>0.76851631184836655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0.90005500300956043</v>
      </c>
      <c r="E17" s="90">
        <f>E3*1.05</f>
        <v>0.90055348961653037</v>
      </c>
      <c r="F17" s="90">
        <f>F3*1.05</f>
        <v>0.90083765646104308</v>
      </c>
      <c r="G17" s="90">
        <f>G3*1.05</f>
        <v>0.90094391165508136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0.89641205557875336</v>
      </c>
      <c r="E19" s="90">
        <f>E5*1.05</f>
        <v>0.89523023051770423</v>
      </c>
      <c r="F19" s="90">
        <f>F5*1.05</f>
        <v>0.89830277919207491</v>
      </c>
      <c r="G19" s="90">
        <f>G5*1.05</f>
        <v>0.89660236382309433</v>
      </c>
    </row>
  </sheetData>
  <sheetProtection algorithmName="SHA-512" hashValue="aItjvhlzDXKaHOIE1TEi70h861HyEQ+y0BAi5jl1xr5GXyvF3NC3z6al7f17/99mW97mm37ivjmyNrZqbyEv+Q==" saltValue="aLGQ9pU7yctXHWng895Za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4bkF0L2/meWskt74RMX+LFtFvaanuzbqSO38HLHnNXqc2imyAzGzm8OZ3VQJta/KMQn3/17kT1mjrm3kTEPM5w==" saltValue="hFEVHFaD0lOHk3DE4pvQ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NQ1olEG425tiWBzEK8jEkl9DvQEc53xpGfn8Y9ZuLfbMVM2j6/l9zLz8HrwTn2PqtTRNF0EfmVHM8hHgJoVnQ==" saltValue="s4ur3lKaDexMeu2aSFaGx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0.17755389521953291</v>
      </c>
    </row>
    <row r="5" spans="1:8" ht="15.75" customHeight="1" x14ac:dyDescent="0.25">
      <c r="B5" s="19" t="s">
        <v>80</v>
      </c>
      <c r="C5" s="101">
        <v>4.8224996806353983E-2</v>
      </c>
    </row>
    <row r="6" spans="1:8" ht="15.75" customHeight="1" x14ac:dyDescent="0.25">
      <c r="B6" s="19" t="s">
        <v>81</v>
      </c>
      <c r="C6" s="101">
        <v>0.22933059814212961</v>
      </c>
    </row>
    <row r="7" spans="1:8" ht="15.75" customHeight="1" x14ac:dyDescent="0.25">
      <c r="B7" s="19" t="s">
        <v>82</v>
      </c>
      <c r="C7" s="101">
        <v>0.31537747942793543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0.10889232299517181</v>
      </c>
    </row>
    <row r="10" spans="1:8" ht="15.75" customHeight="1" x14ac:dyDescent="0.25">
      <c r="B10" s="19" t="s">
        <v>85</v>
      </c>
      <c r="C10" s="101">
        <v>0.1206207074088763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9.54222694475267E-2</v>
      </c>
      <c r="D14" s="55">
        <v>9.54222694475267E-2</v>
      </c>
      <c r="E14" s="55">
        <v>9.54222694475267E-2</v>
      </c>
      <c r="F14" s="55">
        <v>9.54222694475267E-2</v>
      </c>
    </row>
    <row r="15" spans="1:8" ht="15.75" customHeight="1" x14ac:dyDescent="0.25">
      <c r="B15" s="19" t="s">
        <v>88</v>
      </c>
      <c r="C15" s="101">
        <v>0.16253770653819369</v>
      </c>
      <c r="D15" s="101">
        <v>0.16253770653819369</v>
      </c>
      <c r="E15" s="101">
        <v>0.16253770653819369</v>
      </c>
      <c r="F15" s="101">
        <v>0.16253770653819369</v>
      </c>
    </row>
    <row r="16" spans="1:8" ht="15.75" customHeight="1" x14ac:dyDescent="0.25">
      <c r="B16" s="19" t="s">
        <v>89</v>
      </c>
      <c r="C16" s="101">
        <v>3.0924322729751239E-2</v>
      </c>
      <c r="D16" s="101">
        <v>3.0924322729751239E-2</v>
      </c>
      <c r="E16" s="101">
        <v>3.0924322729751239E-2</v>
      </c>
      <c r="F16" s="101">
        <v>3.0924322729751239E-2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2.4607685340686591E-2</v>
      </c>
      <c r="D18" s="101">
        <v>2.4607685340686591E-2</v>
      </c>
      <c r="E18" s="101">
        <v>2.4607685340686591E-2</v>
      </c>
      <c r="F18" s="101">
        <v>2.4607685340686591E-2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6.6531890499538726E-2</v>
      </c>
      <c r="D20" s="101">
        <v>6.6531890499538726E-2</v>
      </c>
      <c r="E20" s="101">
        <v>6.6531890499538726E-2</v>
      </c>
      <c r="F20" s="101">
        <v>6.6531890499538726E-2</v>
      </c>
    </row>
    <row r="21" spans="1:8" ht="15.75" customHeight="1" x14ac:dyDescent="0.25">
      <c r="B21" s="19" t="s">
        <v>94</v>
      </c>
      <c r="C21" s="101">
        <v>0.1956281167403045</v>
      </c>
      <c r="D21" s="101">
        <v>0.1956281167403045</v>
      </c>
      <c r="E21" s="101">
        <v>0.1956281167403045</v>
      </c>
      <c r="F21" s="101">
        <v>0.1956281167403045</v>
      </c>
    </row>
    <row r="22" spans="1:8" ht="15.75" customHeight="1" x14ac:dyDescent="0.25">
      <c r="B22" s="19" t="s">
        <v>95</v>
      </c>
      <c r="C22" s="101">
        <v>0.42434800870399852</v>
      </c>
      <c r="D22" s="101">
        <v>0.42434800870399852</v>
      </c>
      <c r="E22" s="101">
        <v>0.42434800870399852</v>
      </c>
      <c r="F22" s="101">
        <v>0.42434800870399852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5.6908684000000001E-2</v>
      </c>
    </row>
    <row r="27" spans="1:8" ht="15.75" customHeight="1" x14ac:dyDescent="0.25">
      <c r="B27" s="19" t="s">
        <v>102</v>
      </c>
      <c r="C27" s="101">
        <v>0.147893197</v>
      </c>
    </row>
    <row r="28" spans="1:8" ht="15.75" customHeight="1" x14ac:dyDescent="0.25">
      <c r="B28" s="19" t="s">
        <v>103</v>
      </c>
      <c r="C28" s="101">
        <v>0.14146481499999999</v>
      </c>
    </row>
    <row r="29" spans="1:8" ht="15.75" customHeight="1" x14ac:dyDescent="0.25">
      <c r="B29" s="19" t="s">
        <v>104</v>
      </c>
      <c r="C29" s="101">
        <v>0.127987182</v>
      </c>
    </row>
    <row r="30" spans="1:8" ht="15.75" customHeight="1" x14ac:dyDescent="0.25">
      <c r="B30" s="19" t="s">
        <v>2</v>
      </c>
      <c r="C30" s="101">
        <v>5.0805205000000013E-2</v>
      </c>
    </row>
    <row r="31" spans="1:8" ht="15.75" customHeight="1" x14ac:dyDescent="0.25">
      <c r="B31" s="19" t="s">
        <v>105</v>
      </c>
      <c r="C31" s="101">
        <v>0.14241514399999999</v>
      </c>
    </row>
    <row r="32" spans="1:8" ht="15.75" customHeight="1" x14ac:dyDescent="0.25">
      <c r="B32" s="19" t="s">
        <v>106</v>
      </c>
      <c r="C32" s="101">
        <v>2.5668638000000001E-2</v>
      </c>
    </row>
    <row r="33" spans="2:3" ht="15.75" customHeight="1" x14ac:dyDescent="0.25">
      <c r="B33" s="19" t="s">
        <v>107</v>
      </c>
      <c r="C33" s="101">
        <v>0.108201272</v>
      </c>
    </row>
    <row r="34" spans="2:3" ht="15.75" customHeight="1" x14ac:dyDescent="0.25">
      <c r="B34" s="19" t="s">
        <v>108</v>
      </c>
      <c r="C34" s="101">
        <v>0.19865586199999999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0CbJ0XtzrlYqZY3wSWMA2CnLKyV4QAdLhDBtjC/noob5lE7yxsTSUcWrRUhABRKKjDRWAAB658mmZAntJR2k/w==" saltValue="K9Euj9baptS84j8Zt0Itp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0.53827388895654693</v>
      </c>
      <c r="D2" s="52">
        <f>IFERROR(1-_xlfn.NORM.DIST(_xlfn.NORM.INV(SUM(D4:D5), 0, 1) + 1, 0, 1, TRUE), "")</f>
        <v>0.53827388895654693</v>
      </c>
      <c r="E2" s="52">
        <f>IFERROR(1-_xlfn.NORM.DIST(_xlfn.NORM.INV(SUM(E4:E5), 0, 1) + 1, 0, 1, TRUE), "")</f>
        <v>0.71076773296385298</v>
      </c>
      <c r="F2" s="52">
        <f>IFERROR(1-_xlfn.NORM.DIST(_xlfn.NORM.INV(SUM(F4:F5), 0, 1) + 1, 0, 1, TRUE), "")</f>
        <v>0.55924538298926274</v>
      </c>
      <c r="G2" s="52">
        <f>IFERROR(1-_xlfn.NORM.DIST(_xlfn.NORM.INV(SUM(G4:G5), 0, 1) + 1, 0, 1, TRUE), "")</f>
        <v>0.58122893897204697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0.32520555393791178</v>
      </c>
      <c r="D3" s="52">
        <f>IFERROR(_xlfn.NORM.DIST(_xlfn.NORM.INV(SUM(D4:D5), 0, 1) + 1, 0, 1, TRUE) - SUM(D4:D5), "")</f>
        <v>0.32520555393791178</v>
      </c>
      <c r="E3" s="52">
        <f>IFERROR(_xlfn.NORM.DIST(_xlfn.NORM.INV(SUM(E4:E5), 0, 1) + 1, 0, 1, TRUE) - SUM(E4:E5), "")</f>
        <v>0.22933409220264062</v>
      </c>
      <c r="F3" s="52">
        <f>IFERROR(_xlfn.NORM.DIST(_xlfn.NORM.INV(SUM(F4:F5), 0, 1) + 1, 0, 1, TRUE) - SUM(F4:F5), "")</f>
        <v>0.3154882270894297</v>
      </c>
      <c r="G3" s="52">
        <f>IFERROR(_xlfn.NORM.DIST(_xlfn.NORM.INV(SUM(G4:G5), 0, 1) + 1, 0, 1, TRUE) - SUM(G4:G5), "")</f>
        <v>0.30467682229966819</v>
      </c>
    </row>
    <row r="4" spans="1:15" ht="15.75" customHeight="1" x14ac:dyDescent="0.25">
      <c r="B4" s="5" t="s">
        <v>114</v>
      </c>
      <c r="C4" s="45">
        <v>8.3319872617721599E-2</v>
      </c>
      <c r="D4" s="53">
        <v>8.3319872617721599E-2</v>
      </c>
      <c r="E4" s="53">
        <v>5.2147090435028097E-2</v>
      </c>
      <c r="F4" s="53">
        <v>9.5849700272083296E-2</v>
      </c>
      <c r="G4" s="53">
        <v>8.1147387623786912E-2</v>
      </c>
    </row>
    <row r="5" spans="1:15" ht="15.75" customHeight="1" x14ac:dyDescent="0.25">
      <c r="B5" s="5" t="s">
        <v>115</v>
      </c>
      <c r="C5" s="45">
        <v>5.3200684487819699E-2</v>
      </c>
      <c r="D5" s="53">
        <v>5.3200684487819699E-2</v>
      </c>
      <c r="E5" s="53">
        <v>7.7510843984782999E-3</v>
      </c>
      <c r="F5" s="53">
        <v>2.9416689649224299E-2</v>
      </c>
      <c r="G5" s="53">
        <v>3.2946851104497903E-2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0.67575867950727309</v>
      </c>
      <c r="D8" s="52">
        <f>IFERROR(1-_xlfn.NORM.DIST(_xlfn.NORM.INV(SUM(D10:D11), 0, 1) + 1, 0, 1, TRUE), "")</f>
        <v>0.67575867950727309</v>
      </c>
      <c r="E8" s="52">
        <f>IFERROR(1-_xlfn.NORM.DIST(_xlfn.NORM.INV(SUM(E10:E11), 0, 1) + 1, 0, 1, TRUE), "")</f>
        <v>0.66374690745494114</v>
      </c>
      <c r="F8" s="52">
        <f>IFERROR(1-_xlfn.NORM.DIST(_xlfn.NORM.INV(SUM(F10:F11), 0, 1) + 1, 0, 1, TRUE), "")</f>
        <v>0.73161948063728466</v>
      </c>
      <c r="G8" s="52">
        <f>IFERROR(1-_xlfn.NORM.DIST(_xlfn.NORM.INV(SUM(G10:G11), 0, 1) + 1, 0, 1, TRUE), "")</f>
        <v>0.6976933452107571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0.25152719848046945</v>
      </c>
      <c r="D9" s="52">
        <f>IFERROR(_xlfn.NORM.DIST(_xlfn.NORM.INV(SUM(D10:D11), 0, 1) + 1, 0, 1, TRUE) - SUM(D10:D11), "")</f>
        <v>0.25152719848046945</v>
      </c>
      <c r="E9" s="52">
        <f>IFERROR(_xlfn.NORM.DIST(_xlfn.NORM.INV(SUM(E10:E11), 0, 1) + 1, 0, 1, TRUE) - SUM(E10:E11), "")</f>
        <v>0.25884310613849415</v>
      </c>
      <c r="F9" s="52">
        <f>IFERROR(_xlfn.NORM.DIST(_xlfn.NORM.INV(SUM(F10:F11), 0, 1) + 1, 0, 1, TRUE) - SUM(F10:F11), "")</f>
        <v>0.21551886050644264</v>
      </c>
      <c r="G9" s="52">
        <f>IFERROR(_xlfn.NORM.DIST(_xlfn.NORM.INV(SUM(G10:G11), 0, 1) + 1, 0, 1, TRUE) - SUM(G10:G11), "")</f>
        <v>0.23777144301751632</v>
      </c>
    </row>
    <row r="10" spans="1:15" ht="15.75" customHeight="1" x14ac:dyDescent="0.25">
      <c r="B10" s="5" t="s">
        <v>119</v>
      </c>
      <c r="C10" s="45">
        <v>4.9876313656568499E-2</v>
      </c>
      <c r="D10" s="53">
        <v>4.9876313656568499E-2</v>
      </c>
      <c r="E10" s="53">
        <v>5.8374550193548203E-2</v>
      </c>
      <c r="F10" s="53">
        <v>3.6005172878503799E-2</v>
      </c>
      <c r="G10" s="53">
        <v>4.8495609313249588E-2</v>
      </c>
    </row>
    <row r="11" spans="1:15" ht="15.75" customHeight="1" x14ac:dyDescent="0.25">
      <c r="B11" s="5" t="s">
        <v>120</v>
      </c>
      <c r="C11" s="45">
        <v>2.2837808355689E-2</v>
      </c>
      <c r="D11" s="53">
        <v>2.2837808355689E-2</v>
      </c>
      <c r="E11" s="53">
        <v>1.90354362130165E-2</v>
      </c>
      <c r="F11" s="53">
        <v>1.6856485977768901E-2</v>
      </c>
      <c r="G11" s="53">
        <v>1.6039602458476999E-2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0.60847067900000007</v>
      </c>
      <c r="D14" s="54">
        <v>0.58133804313699999</v>
      </c>
      <c r="E14" s="54">
        <v>0.58133804313699999</v>
      </c>
      <c r="F14" s="54">
        <v>0.34640304007799999</v>
      </c>
      <c r="G14" s="54">
        <v>0.34640304007799999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0.34608960362569408</v>
      </c>
      <c r="D15" s="52">
        <f t="shared" si="0"/>
        <v>0.33065694020372166</v>
      </c>
      <c r="E15" s="52">
        <f t="shared" si="0"/>
        <v>0.33065694020372166</v>
      </c>
      <c r="F15" s="52">
        <f t="shared" si="0"/>
        <v>0.1970291995538053</v>
      </c>
      <c r="G15" s="52">
        <f t="shared" si="0"/>
        <v>0.1970291995538053</v>
      </c>
      <c r="H15" s="52">
        <f t="shared" si="0"/>
        <v>0.165516726</v>
      </c>
      <c r="I15" s="52">
        <f t="shared" si="0"/>
        <v>0.165516726</v>
      </c>
      <c r="J15" s="52">
        <f t="shared" si="0"/>
        <v>0.165516726</v>
      </c>
      <c r="K15" s="52">
        <f t="shared" si="0"/>
        <v>0.165516726</v>
      </c>
      <c r="L15" s="52">
        <f t="shared" si="0"/>
        <v>0.18485545</v>
      </c>
      <c r="M15" s="52">
        <f t="shared" si="0"/>
        <v>0.18485545</v>
      </c>
      <c r="N15" s="52">
        <f t="shared" si="0"/>
        <v>0.18485545</v>
      </c>
      <c r="O15" s="52">
        <f t="shared" si="0"/>
        <v>0.18485545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1BjeTwtaKCkCzubTFJ2xJoATvLPBiu3oqJKEzPKtAOT2YdSLTI28mmYLW4HVVHg9Mnjanw/TUrpWCNL5MpptDg==" saltValue="IcQrip/tSnPzc8YmdWYG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0.38757833838462802</v>
      </c>
      <c r="D2" s="53">
        <v>0.2237922</v>
      </c>
      <c r="E2" s="53"/>
      <c r="F2" s="53"/>
      <c r="G2" s="53"/>
    </row>
    <row r="3" spans="1:7" x14ac:dyDescent="0.25">
      <c r="B3" s="3" t="s">
        <v>130</v>
      </c>
      <c r="C3" s="53">
        <v>0.19070751965045901</v>
      </c>
      <c r="D3" s="53">
        <v>0.130911</v>
      </c>
      <c r="E3" s="53"/>
      <c r="F3" s="53"/>
      <c r="G3" s="53"/>
    </row>
    <row r="4" spans="1:7" x14ac:dyDescent="0.25">
      <c r="B4" s="3" t="s">
        <v>131</v>
      </c>
      <c r="C4" s="53">
        <v>0.37630134820938099</v>
      </c>
      <c r="D4" s="53">
        <v>0.50229999999999997</v>
      </c>
      <c r="E4" s="53">
        <v>0.63804256916046098</v>
      </c>
      <c r="F4" s="53">
        <v>0.45998138189315801</v>
      </c>
      <c r="G4" s="53"/>
    </row>
    <row r="5" spans="1:7" x14ac:dyDescent="0.25">
      <c r="B5" s="3" t="s">
        <v>132</v>
      </c>
      <c r="C5" s="52">
        <v>4.5412778854370103E-2</v>
      </c>
      <c r="D5" s="52">
        <v>0.14299689233303101</v>
      </c>
      <c r="E5" s="52">
        <f>1-SUM(E2:E4)</f>
        <v>0.36195743083953902</v>
      </c>
      <c r="F5" s="52">
        <f>1-SUM(F2:F4)</f>
        <v>0.54001861810684204</v>
      </c>
      <c r="G5" s="52">
        <f>1-SUM(G2:G4)</f>
        <v>1</v>
      </c>
    </row>
  </sheetData>
  <sheetProtection algorithmName="SHA-512" hashValue="uHZFUhRn+al2pY00ih8QFoaF8LkU+SmtHIHskrW6iCTjRxCi4V7lZqdsYlD9HqVVLYn5qNc9rp9pinmn0ds52Q==" saltValue="8IhbbqVChg/TIs/2Fo618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MXCbkJOVeW/LyVS5hsk0LTS/F7dpX+5gfE9dwXe0VbblLDanIb7V13B6WnCJ6ddEvtuE7lxm1LQxn35qwvbKQ==" saltValue="qiPGCtSG7NFhSM6nXnCRG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Y/DdrhDXosZDr09cc+xr8dSu0md9FhxYKynL9o1RAmdjhJ/3lVgpJ7iZrG5oTDf05Efdyn5ZwOl2zvZLWUrWIA==" saltValue="txL0R52adSQ1jHu54bwDH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W8ZCVCPwiJLjWDtHm1clTA4qs/RIAxMo8vlR9/PEn8Nb5ECiPNO85zgDU8PW+uJg2yV0SS4NhMpTMSIGRyJ07A==" saltValue="ES6ExSF/lBXyMOB2CbOMA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ZM4aqB0hMxR1KIqcwLd9/kO8k6GOnbOKjSe1dUILj5ua47F9WYtZSwtyyFblIrSvp8fZPw6uuME2nC9+vqxaag==" saltValue="gkp6sxz7vYaa96PgjXfCV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2024-03-15T02:59:03Z</dcterms:modified>
</cp:coreProperties>
</file>