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5DD94B3F-DC08-4600-A9B2-A6ECD4E76D4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D19" i="26"/>
  <c r="C19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0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A40" i="2"/>
  <c r="H39" i="2"/>
  <c r="I39" i="2" s="1"/>
  <c r="G39" i="2"/>
  <c r="H38" i="2"/>
  <c r="G38" i="2"/>
  <c r="A32" i="2"/>
  <c r="A31" i="2"/>
  <c r="A30" i="2"/>
  <c r="A29" i="2"/>
  <c r="A24" i="2"/>
  <c r="A16" i="2"/>
  <c r="A15" i="2"/>
  <c r="A14" i="2"/>
  <c r="A13" i="2"/>
  <c r="I11" i="2"/>
  <c r="H11" i="2"/>
  <c r="G11" i="2"/>
  <c r="H10" i="2"/>
  <c r="G10" i="2"/>
  <c r="I10" i="2" s="1"/>
  <c r="H9" i="2"/>
  <c r="I9" i="2" s="1"/>
  <c r="G9" i="2"/>
  <c r="H8" i="2"/>
  <c r="G8" i="2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A3" i="2"/>
  <c r="H2" i="2"/>
  <c r="G2" i="2"/>
  <c r="A2" i="2"/>
  <c r="A36" i="2" s="1"/>
  <c r="C33" i="1"/>
  <c r="C20" i="1"/>
  <c r="F12" i="26" l="1"/>
  <c r="I4" i="2"/>
  <c r="A21" i="2"/>
  <c r="A37" i="2"/>
  <c r="I40" i="2"/>
  <c r="G12" i="26"/>
  <c r="A22" i="2"/>
  <c r="A38" i="2"/>
  <c r="I2" i="2"/>
  <c r="I8" i="2"/>
  <c r="A23" i="2"/>
  <c r="I38" i="2"/>
  <c r="F10" i="26"/>
  <c r="D17" i="26"/>
  <c r="A17" i="2"/>
  <c r="A25" i="2"/>
  <c r="A33" i="2"/>
  <c r="G10" i="26"/>
  <c r="E17" i="26"/>
  <c r="A18" i="2"/>
  <c r="A26" i="2"/>
  <c r="A34" i="2"/>
  <c r="A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<sst xmlns="http://schemas.openxmlformats.org/spreadsheetml/2006/main" count="2092" uniqueCount="337">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</sst>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1055877.046875</v>
      </c>
    </row>
    <row r="8" spans="1:3" ht="15" customHeight="1" x14ac:dyDescent="0.25">
      <c r="B8" s="5" t="s">
        <v>19</v>
      </c>
      <c r="C8" s="44">
        <v>0.16500000000000001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0.48369369506835902</v>
      </c>
    </row>
    <row r="11" spans="1:3" ht="15" customHeight="1" x14ac:dyDescent="0.25">
      <c r="B11" s="5" t="s">
        <v>22</v>
      </c>
      <c r="C11" s="45">
        <v>0.88900000000000001</v>
      </c>
    </row>
    <row r="12" spans="1:3" ht="15" customHeight="1" x14ac:dyDescent="0.25">
      <c r="B12" s="5" t="s">
        <v>23</v>
      </c>
      <c r="C12" s="45">
        <v>0.63900000000000001</v>
      </c>
    </row>
    <row r="13" spans="1:3" ht="15" customHeight="1" x14ac:dyDescent="0.25">
      <c r="B13" s="5" t="s">
        <v>24</v>
      </c>
      <c r="C13" s="45">
        <v>0.24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0.14680000000000001</v>
      </c>
    </row>
    <row r="24" spans="1:3" ht="15" customHeight="1" x14ac:dyDescent="0.25">
      <c r="B24" s="15" t="s">
        <v>33</v>
      </c>
      <c r="C24" s="45">
        <v>0.50009999999999999</v>
      </c>
    </row>
    <row r="25" spans="1:3" ht="15" customHeight="1" x14ac:dyDescent="0.25">
      <c r="B25" s="15" t="s">
        <v>34</v>
      </c>
      <c r="C25" s="45">
        <v>0.28989999999999999</v>
      </c>
    </row>
    <row r="26" spans="1:3" ht="15" customHeight="1" x14ac:dyDescent="0.25">
      <c r="B26" s="15" t="s">
        <v>35</v>
      </c>
      <c r="C26" s="45">
        <v>6.3199999999999992E-2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0.35378170370000001</v>
      </c>
    </row>
    <row r="30" spans="1:3" ht="14.25" customHeight="1" x14ac:dyDescent="0.25">
      <c r="B30" s="25" t="s">
        <v>38</v>
      </c>
      <c r="C30" s="99">
        <v>3.566000792E-2</v>
      </c>
    </row>
    <row r="31" spans="1:3" ht="14.25" customHeight="1" x14ac:dyDescent="0.25">
      <c r="B31" s="25" t="s">
        <v>39</v>
      </c>
      <c r="C31" s="99">
        <v>6.3080000780000006E-2</v>
      </c>
    </row>
    <row r="32" spans="1:3" ht="14.25" customHeight="1" x14ac:dyDescent="0.25">
      <c r="B32" s="25" t="s">
        <v>40</v>
      </c>
      <c r="C32" s="99">
        <v>0.54747828759999995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9.1640098001448198</v>
      </c>
    </row>
    <row r="38" spans="1:5" ht="15" customHeight="1" x14ac:dyDescent="0.25">
      <c r="B38" s="11" t="s">
        <v>45</v>
      </c>
      <c r="C38" s="43">
        <v>14.453169288374101</v>
      </c>
      <c r="D38" s="12"/>
      <c r="E38" s="13"/>
    </row>
    <row r="39" spans="1:5" ht="15" customHeight="1" x14ac:dyDescent="0.25">
      <c r="B39" s="11" t="s">
        <v>46</v>
      </c>
      <c r="C39" s="43">
        <v>16.813241233522302</v>
      </c>
      <c r="D39" s="12"/>
      <c r="E39" s="12"/>
    </row>
    <row r="40" spans="1:5" ht="15" customHeight="1" x14ac:dyDescent="0.25">
      <c r="B40" s="11" t="s">
        <v>47</v>
      </c>
      <c r="C40" s="100">
        <v>0.65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8.5109172740000005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7.6803000000000001E-3</v>
      </c>
      <c r="D45" s="12"/>
    </row>
    <row r="46" spans="1:5" ht="15.75" customHeight="1" x14ac:dyDescent="0.25">
      <c r="B46" s="11" t="s">
        <v>52</v>
      </c>
      <c r="C46" s="45">
        <v>7.7152999999999999E-2</v>
      </c>
      <c r="D46" s="12"/>
    </row>
    <row r="47" spans="1:5" ht="15.75" customHeight="1" x14ac:dyDescent="0.25">
      <c r="B47" s="11" t="s">
        <v>53</v>
      </c>
      <c r="C47" s="45">
        <v>5.8001400000000002E-2</v>
      </c>
      <c r="D47" s="12"/>
      <c r="E47" s="13"/>
    </row>
    <row r="48" spans="1:5" ht="15" customHeight="1" x14ac:dyDescent="0.25">
      <c r="B48" s="11" t="s">
        <v>54</v>
      </c>
      <c r="C48" s="46">
        <v>0.85716530000000002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0.62768099999999993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0.108972099999999</v>
      </c>
    </row>
    <row r="63" spans="1:4" ht="15.75" customHeight="1" x14ac:dyDescent="0.3">
      <c r="A63" s="4"/>
    </row>
  </sheetData>
  <sheetProtection algorithmName="SHA-512" hashValue="Us6CB5VzjopZwYFNXGDG4xx7RBgDP0Y5IZBJixWZaP467PlF95HsHprJlOfvuPR4ykMILGGVxP4jWPEGW0XuVQ==" saltValue="sJklwvHjZ4GeVANA8eC/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0.165584386903048</v>
      </c>
      <c r="C2" s="98">
        <v>0.95</v>
      </c>
      <c r="D2" s="56">
        <v>46.657462083638059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42.717327128317891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236.1160204529337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0.97263747145843082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13.73503902833848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13.73503902833848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13.73503902833848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13.73503902833848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13.73503902833848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13.73503902833848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0.23877839834353301</v>
      </c>
      <c r="C16" s="98">
        <v>0.95</v>
      </c>
      <c r="D16" s="56">
        <v>0.47428176618855961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5.4969809474092566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5.4969809474092566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0.1609794044</v>
      </c>
      <c r="C21" s="98">
        <v>0.95</v>
      </c>
      <c r="D21" s="56">
        <v>8.8005415971440346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23.544341700323429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2.5000000000000001E-2</v>
      </c>
      <c r="C23" s="98">
        <v>0.95</v>
      </c>
      <c r="D23" s="56">
        <v>4.5831213765060994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0.61910931406708802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0.2123511464715</v>
      </c>
      <c r="C27" s="98">
        <v>0.95</v>
      </c>
      <c r="D27" s="56">
        <v>19.732801874256189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0.59725010000000001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87.693263589511574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0.2992427386952129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0.30249359999999997</v>
      </c>
      <c r="C32" s="98">
        <v>0.95</v>
      </c>
      <c r="D32" s="56">
        <v>0.98736889208471235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0.81251262937657198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3.7354654632508698E-3</v>
      </c>
      <c r="C38" s="98">
        <v>0.95</v>
      </c>
      <c r="D38" s="56">
        <v>6.3501454073226729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0.60726419999999992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Ra18VKoQePhh0BZ6mV70mq6XoBjXvPgFX/zRgjR7KzMQj36rna/wlGhbxtwfSE5/DjmK9l/GmrcfQ25phyFPZg==" saltValue="pblmFHPl7MihRfi4hFMV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hC6o1yifUQz47+6qgBbfXOIx4ZrKyybo35HZl3d0awsOB36X2BTHTqpWf+KpxkhyDChNJThfaHSKjIiM7YHXhg==" saltValue="ZHiO5F88xD6yZKapIDh0N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4zs61JgB90K/S6pwom4crAqd1YQ9USQ0ET4glcFO/NkHrsqyMDM4Bu59/IFmKC1HRP61rSfNRrVonpuQOsh6LQ==" saltValue="sKNWnqBmaV7upT7OqCZWz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5.4124452918767919E-2</v>
      </c>
      <c r="C3" s="21">
        <f>frac_mam_1_5months * 2.6</f>
        <v>5.4124452918767919E-2</v>
      </c>
      <c r="D3" s="21">
        <f>frac_mam_6_11months * 2.6</f>
        <v>2.759497687220586E-2</v>
      </c>
      <c r="E3" s="21">
        <f>frac_mam_12_23months * 2.6</f>
        <v>3.442741241306068E-2</v>
      </c>
      <c r="F3" s="21">
        <f>frac_mam_24_59months * 2.6</f>
        <v>2.099740877747526E-2</v>
      </c>
    </row>
    <row r="4" spans="1:6" ht="15.75" customHeight="1" x14ac:dyDescent="0.25">
      <c r="A4" s="3" t="s">
        <v>208</v>
      </c>
      <c r="B4" s="21">
        <f>frac_sam_1month * 2.6</f>
        <v>2.9272668249905077E-2</v>
      </c>
      <c r="C4" s="21">
        <f>frac_sam_1_5months * 2.6</f>
        <v>2.9272668249905077E-2</v>
      </c>
      <c r="D4" s="21">
        <f>frac_sam_6_11months * 2.6</f>
        <v>1.3856680504977702E-2</v>
      </c>
      <c r="E4" s="21">
        <f>frac_sam_12_23months * 2.6</f>
        <v>1.053983373567462E-2</v>
      </c>
      <c r="F4" s="21">
        <f>frac_sam_24_59months * 2.6</f>
        <v>1.9626202527432799E-3</v>
      </c>
    </row>
  </sheetData>
  <sheetProtection algorithmName="SHA-512" hashValue="Qw9DJ926qYh1QNJ8tdRW5cDYa2ogKIibxavN4HN8p87oF2MuKOaOJhaa3B/QrVulHG6GqmwHh+B3g4TblHOtmA==" saltValue="RfPKGKDb+TLHaMADiBTd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0.16500000000000001</v>
      </c>
      <c r="E2" s="60">
        <f>food_insecure</f>
        <v>0.16500000000000001</v>
      </c>
      <c r="F2" s="60">
        <f>food_insecure</f>
        <v>0.16500000000000001</v>
      </c>
      <c r="G2" s="60">
        <f>food_insecure</f>
        <v>0.16500000000000001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0.16500000000000001</v>
      </c>
      <c r="F5" s="60">
        <f>food_insecure</f>
        <v>0.16500000000000001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0.16500000000000001</v>
      </c>
      <c r="F8" s="60">
        <f>food_insecure</f>
        <v>0.16500000000000001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0.16500000000000001</v>
      </c>
      <c r="F9" s="60">
        <f>food_insecure</f>
        <v>0.16500000000000001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0.63900000000000001</v>
      </c>
      <c r="E10" s="60">
        <f>IF(ISBLANK(comm_deliv), frac_children_health_facility,1)</f>
        <v>0.63900000000000001</v>
      </c>
      <c r="F10" s="60">
        <f>IF(ISBLANK(comm_deliv), frac_children_health_facility,1)</f>
        <v>0.63900000000000001</v>
      </c>
      <c r="G10" s="60">
        <f>IF(ISBLANK(comm_deliv), frac_children_health_facility,1)</f>
        <v>0.63900000000000001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0.16500000000000001</v>
      </c>
      <c r="I15" s="60">
        <f>food_insecure</f>
        <v>0.16500000000000001</v>
      </c>
      <c r="J15" s="60">
        <f>food_insecure</f>
        <v>0.16500000000000001</v>
      </c>
      <c r="K15" s="60">
        <f>food_insecure</f>
        <v>0.16500000000000001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0.88900000000000001</v>
      </c>
      <c r="I18" s="60">
        <f>frac_PW_health_facility</f>
        <v>0.88900000000000001</v>
      </c>
      <c r="J18" s="60">
        <f>frac_PW_health_facility</f>
        <v>0.88900000000000001</v>
      </c>
      <c r="K18" s="60">
        <f>frac_PW_health_facility</f>
        <v>0.88900000000000001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</v>
      </c>
      <c r="M24" s="60">
        <f>famplan_unmet_need</f>
        <v>0.24</v>
      </c>
      <c r="N24" s="60">
        <f>famplan_unmet_need</f>
        <v>0.24</v>
      </c>
      <c r="O24" s="60">
        <f>famplan_unmet_need</f>
        <v>0.24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0.2708801028823854</v>
      </c>
      <c r="M25" s="60">
        <f>(1-food_insecure)*(0.49)+food_insecure*(0.7)</f>
        <v>0.52464999999999995</v>
      </c>
      <c r="N25" s="60">
        <f>(1-food_insecure)*(0.49)+food_insecure*(0.7)</f>
        <v>0.52464999999999995</v>
      </c>
      <c r="O25" s="60">
        <f>(1-food_insecure)*(0.49)+food_insecure*(0.7)</f>
        <v>0.52464999999999995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0.11609147266387945</v>
      </c>
      <c r="M26" s="60">
        <f>(1-food_insecure)*(0.21)+food_insecure*(0.3)</f>
        <v>0.22484999999999999</v>
      </c>
      <c r="N26" s="60">
        <f>(1-food_insecure)*(0.21)+food_insecure*(0.3)</f>
        <v>0.22484999999999999</v>
      </c>
      <c r="O26" s="60">
        <f>(1-food_insecure)*(0.21)+food_insecure*(0.3)</f>
        <v>0.22484999999999999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0.12933472938537607</v>
      </c>
      <c r="M27" s="60">
        <f>(1-food_insecure)*(0.3)</f>
        <v>0.2505</v>
      </c>
      <c r="N27" s="60">
        <f>(1-food_insecure)*(0.3)</f>
        <v>0.2505</v>
      </c>
      <c r="O27" s="60">
        <f>(1-food_insecure)*(0.3)</f>
        <v>0.2505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0.48369369506835896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6sxcah6vLOrvm6CaIPhD5exvW37XKT1UWnJIxR6Siv0fi+u2nN4DwyBKVQFW4tlgKbeOaBDoelXUETir7d3IFQ==" saltValue="SUd06r4fwjPaCSMUi8QXq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JsPF0oJhcK6Db2p2BDU6lJ2cy/W+xocKOdoZy8jEgwhJWzGVAlYh1PabFyU3yIQxVWGW7T2R3dQYTaCweOWhRA==" saltValue="5ju6m643uqcB14I+izzHs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/bHHwXA4dGdsUlTWwwQaLxPWhLa2xxif5cX4iEtLiuAI3lH7lJfwbJDiOd5n1T9oZWDKzsVT6ZrX/JpTeKKKg==" saltValue="NSLciKKDsuD4UBStHIonw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5IkJs4DCIYOOWrDTKGinKtxXwMm+yiY/nX6EfQj1wCWq2lP+Wn1vwflHMM0mPL8QHKp+9gsCEJBS9HVV/ECGg==" saltValue="CNO7XEC1cZAYy5N1Adj57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jS08566ez0gSA/2/4OUSHaDCq638P5xGSB1oyjDVG8PQlPNuTRvNH3XAeVwDQUblpNvxSpHJJNx/ufSsLJxUig==" saltValue="NJtujxA7f9SJVoe4p4q1O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1mW/0CmnGjfkGfEcOZUFfljYYFEuYxIN1FMB38+GaQvSbOcGk4VPo6QTg3NGLfhPpS6krFGOCoRAMk3m9cu/1Q==" saltValue="rcNsHXVH//lqsLIkE2d0B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199375.51180000001</v>
      </c>
      <c r="C2" s="49">
        <v>494000</v>
      </c>
      <c r="D2" s="49">
        <v>934000</v>
      </c>
      <c r="E2" s="49">
        <v>759000</v>
      </c>
      <c r="F2" s="49">
        <v>555000</v>
      </c>
      <c r="G2" s="17">
        <f t="shared" ref="G2:G11" si="0">C2+D2+E2+F2</f>
        <v>2742000</v>
      </c>
      <c r="H2" s="17">
        <f t="shared" ref="H2:H11" si="1">(B2 + stillbirth*B2/(1000-stillbirth))/(1-abortion)</f>
        <v>228507.89336781861</v>
      </c>
      <c r="I2" s="17">
        <f t="shared" ref="I2:I11" si="2">G2-H2</f>
        <v>2513492.1066321814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199081.86480000001</v>
      </c>
      <c r="C3" s="50">
        <v>492000</v>
      </c>
      <c r="D3" s="50">
        <v>944000</v>
      </c>
      <c r="E3" s="50">
        <v>776000</v>
      </c>
      <c r="F3" s="50">
        <v>575000</v>
      </c>
      <c r="G3" s="17">
        <f t="shared" si="0"/>
        <v>2787000</v>
      </c>
      <c r="H3" s="17">
        <f t="shared" si="1"/>
        <v>228171.33921050018</v>
      </c>
      <c r="I3" s="17">
        <f t="shared" si="2"/>
        <v>2558828.6607895</v>
      </c>
    </row>
    <row r="4" spans="1:9" ht="15.75" customHeight="1" x14ac:dyDescent="0.25">
      <c r="A4" s="5">
        <f t="shared" si="3"/>
        <v>2023</v>
      </c>
      <c r="B4" s="49">
        <v>198691.18900000001</v>
      </c>
      <c r="C4" s="50">
        <v>489000</v>
      </c>
      <c r="D4" s="50">
        <v>953000</v>
      </c>
      <c r="E4" s="50">
        <v>794000</v>
      </c>
      <c r="F4" s="50">
        <v>594000</v>
      </c>
      <c r="G4" s="17">
        <f t="shared" si="0"/>
        <v>2830000</v>
      </c>
      <c r="H4" s="17">
        <f t="shared" si="1"/>
        <v>227723.57858412329</v>
      </c>
      <c r="I4" s="17">
        <f t="shared" si="2"/>
        <v>2602276.4214158766</v>
      </c>
    </row>
    <row r="5" spans="1:9" ht="15.75" customHeight="1" x14ac:dyDescent="0.25">
      <c r="A5" s="5">
        <f t="shared" si="3"/>
        <v>2024</v>
      </c>
      <c r="B5" s="49">
        <v>198165.04680000001</v>
      </c>
      <c r="C5" s="50">
        <v>486000</v>
      </c>
      <c r="D5" s="50">
        <v>960000</v>
      </c>
      <c r="E5" s="50">
        <v>812000</v>
      </c>
      <c r="F5" s="50">
        <v>615000</v>
      </c>
      <c r="G5" s="17">
        <f t="shared" si="0"/>
        <v>2873000</v>
      </c>
      <c r="H5" s="17">
        <f t="shared" si="1"/>
        <v>227120.55745756428</v>
      </c>
      <c r="I5" s="17">
        <f t="shared" si="2"/>
        <v>2645879.4425424356</v>
      </c>
    </row>
    <row r="6" spans="1:9" ht="15.75" customHeight="1" x14ac:dyDescent="0.25">
      <c r="A6" s="5">
        <f t="shared" si="3"/>
        <v>2025</v>
      </c>
      <c r="B6" s="49">
        <v>197505.405</v>
      </c>
      <c r="C6" s="50">
        <v>482000</v>
      </c>
      <c r="D6" s="50">
        <v>966000</v>
      </c>
      <c r="E6" s="50">
        <v>829000</v>
      </c>
      <c r="F6" s="50">
        <v>633000</v>
      </c>
      <c r="G6" s="17">
        <f t="shared" si="0"/>
        <v>2910000</v>
      </c>
      <c r="H6" s="17">
        <f t="shared" si="1"/>
        <v>226364.53001600684</v>
      </c>
      <c r="I6" s="17">
        <f t="shared" si="2"/>
        <v>2683635.4699839931</v>
      </c>
    </row>
    <row r="7" spans="1:9" ht="15.75" customHeight="1" x14ac:dyDescent="0.25">
      <c r="A7" s="5">
        <f t="shared" si="3"/>
        <v>2026</v>
      </c>
      <c r="B7" s="49">
        <v>196623.0962</v>
      </c>
      <c r="C7" s="50">
        <v>477000</v>
      </c>
      <c r="D7" s="50">
        <v>969000</v>
      </c>
      <c r="E7" s="50">
        <v>846000</v>
      </c>
      <c r="F7" s="50">
        <v>651000</v>
      </c>
      <c r="G7" s="17">
        <f t="shared" si="0"/>
        <v>2943000</v>
      </c>
      <c r="H7" s="17">
        <f t="shared" si="1"/>
        <v>225353.29988364168</v>
      </c>
      <c r="I7" s="17">
        <f t="shared" si="2"/>
        <v>2717646.7001163582</v>
      </c>
    </row>
    <row r="8" spans="1:9" ht="15.75" customHeight="1" x14ac:dyDescent="0.25">
      <c r="A8" s="5">
        <f t="shared" si="3"/>
        <v>2027</v>
      </c>
      <c r="B8" s="49">
        <v>195627.03159999999</v>
      </c>
      <c r="C8" s="50">
        <v>472000</v>
      </c>
      <c r="D8" s="50">
        <v>972000</v>
      </c>
      <c r="E8" s="50">
        <v>862000</v>
      </c>
      <c r="F8" s="50">
        <v>669000</v>
      </c>
      <c r="G8" s="17">
        <f t="shared" si="0"/>
        <v>2975000</v>
      </c>
      <c r="H8" s="17">
        <f t="shared" si="1"/>
        <v>224211.69216387023</v>
      </c>
      <c r="I8" s="17">
        <f t="shared" si="2"/>
        <v>2750788.3078361298</v>
      </c>
    </row>
    <row r="9" spans="1:9" ht="15.75" customHeight="1" x14ac:dyDescent="0.25">
      <c r="A9" s="5">
        <f t="shared" si="3"/>
        <v>2028</v>
      </c>
      <c r="B9" s="49">
        <v>194500.3385999999</v>
      </c>
      <c r="C9" s="50">
        <v>467000</v>
      </c>
      <c r="D9" s="50">
        <v>973000</v>
      </c>
      <c r="E9" s="50">
        <v>878000</v>
      </c>
      <c r="F9" s="50">
        <v>686000</v>
      </c>
      <c r="G9" s="17">
        <f t="shared" si="0"/>
        <v>3004000</v>
      </c>
      <c r="H9" s="17">
        <f t="shared" si="1"/>
        <v>222920.3688635416</v>
      </c>
      <c r="I9" s="17">
        <f t="shared" si="2"/>
        <v>2781079.6311364584</v>
      </c>
    </row>
    <row r="10" spans="1:9" ht="15.75" customHeight="1" x14ac:dyDescent="0.25">
      <c r="A10" s="5">
        <f t="shared" si="3"/>
        <v>2029</v>
      </c>
      <c r="B10" s="49">
        <v>193227.49019999991</v>
      </c>
      <c r="C10" s="50">
        <v>463000</v>
      </c>
      <c r="D10" s="50">
        <v>971000</v>
      </c>
      <c r="E10" s="50">
        <v>892000</v>
      </c>
      <c r="F10" s="50">
        <v>703000</v>
      </c>
      <c r="G10" s="17">
        <f t="shared" si="0"/>
        <v>3029000</v>
      </c>
      <c r="H10" s="17">
        <f t="shared" si="1"/>
        <v>221461.53420609198</v>
      </c>
      <c r="I10" s="17">
        <f t="shared" si="2"/>
        <v>2807538.4657939081</v>
      </c>
    </row>
    <row r="11" spans="1:9" ht="15.75" customHeight="1" x14ac:dyDescent="0.25">
      <c r="A11" s="5">
        <f t="shared" si="3"/>
        <v>2030</v>
      </c>
      <c r="B11" s="49">
        <v>191828.723</v>
      </c>
      <c r="C11" s="50">
        <v>461000</v>
      </c>
      <c r="D11" s="50">
        <v>967000</v>
      </c>
      <c r="E11" s="50">
        <v>905000</v>
      </c>
      <c r="F11" s="50">
        <v>721000</v>
      </c>
      <c r="G11" s="17">
        <f t="shared" si="0"/>
        <v>3054000</v>
      </c>
      <c r="H11" s="17">
        <f t="shared" si="1"/>
        <v>219858.38172613943</v>
      </c>
      <c r="I11" s="17">
        <f t="shared" si="2"/>
        <v>2834141.6182738608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rVcEND9xdAPzsnjFD3JiBCMRKh93bJiiHgCdMvBi4dF5+eO8D+VwXE4C7kwIFFW2sHPrWf8Zt6+Ta9L6Wvt8uQ==" saltValue="5VhGPFZG5gkYY+0Fc27pw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2.0125174947112279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2.0125174947112279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1.8028600167683051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1.8028600167683051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1.6689847732913472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1.6689847732913472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1.5304610825076301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1.5304610825076301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2.3922115552279384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2.3922115552279384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2.1039325230564194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2.1039325230564194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KJNSfAaqq6bMWyPAe/pdXHdoDvUSobTpmoZR+7CCSte8rIJqJs85hMf5Qnfs8AT6LJKEvYiukjYQcmSZU2N3Mg==" saltValue="qqHCGxV/QFM3zad7v4vC+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9wz4vou4vkIkEUdeejVRejrxpcKkdDO7FcCbZzgsSqkDiga3aB4L/WN350UryD7SWZ6AI0lWwSkxvFbtpzV0oQ==" saltValue="MW1VaO0tJDNvp8xAm8Y5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T1cRRsL88oFRGjSLiCcayvkQdcEdspU317IdAh7cqfJaPbHvrlcMH59TMkJjAoc8rAZSAfgosMQpKqK6S/V3Jw==" saltValue="FGBWfPJy+36nXdfsG85Q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0.60489793915609702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0.60489793915609702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0.86330096098450626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0.86330096098450626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0.86330096098450626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0.86330096098450626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0.40357032778719515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0.40357032778719515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0.82993300672946035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0.82993300672946035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0.82993300672946035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0.82993300672946035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0.90828718769005556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0.90828718769005556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0.89698702251961637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0.89698702251961637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0.89698702251961637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0.89698702251961637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2a3QGFd53JT2g7KBFuWBj6OlprSkRHl7xZaGhohuaFW/PyUUulNcqlWZE//E5Um1R8dl+PiOtIDO/1jRWbzIlQ==" saltValue="05AzIi+7E6ukPYSsOWJ12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+N0YpbZNF2KVvUmZn3Zvs8aiwE1o67J31dSG9dJU6G6CQUoAZt51kceMOpFQiWdlaAhK1ebR+puGvk8laGZtkA==" saltValue="GFXGGAXGBMT+rhDzgFbz/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0.49987906772598573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0.64708334730687211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0.64708334730687211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0.66928092223377122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0.66928092223377122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0.66928092223377122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0.66928092223377122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0.67936973250274835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0.67936973250274835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0.67936973250274835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0.67936973250274835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0.60858042897737274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0.74040525609936736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0.74040525609936736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0.75891996142719398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0.75891996142719398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0.75891996142719398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0.75891996142719398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0.76722532588454395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0.76722532588454395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0.76722532588454395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0.76722532588454395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0.31332875024742279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0.45564793693729927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0.45564793693729927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0.48021424212976577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0.48021424212976577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0.48021424212976577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0.48021424212976577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0.49169024045261678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0.49169024045261678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0.49169024045261678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0.49169024045261678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0.47560750945796143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0.62459064922248153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0.62459064922248153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0.64743213068515693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0.64743213068515693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0.64743213068515693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0.64743213068515693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0.65784671532846728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0.65784671532846728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0.65784671532846728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0.65784671532846728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0.9262971323262893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0.95842850569867255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0.95842850569867255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0.96218757483709161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0.96218757483709161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0.96218757483709161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0.96218757483709161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0.96382404013119816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0.96382404013119816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0.96382404013119816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0.96382404013119816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0.81718662876698056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0.89130381129302172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0.89130381129302172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0.90050246256405164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0.90050246256405164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0.90050246256405164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0.90050246256405164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0.90454371897670893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0.90454371897670893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0.90454371897670893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0.90454371897670893</v>
      </c>
    </row>
  </sheetData>
  <sheetProtection algorithmName="SHA-512" hashValue="DpYweY2qNOCXPluzmqydkp7ES6XRjGFu9VcI6Kc3sYCOQSitUPRyEe3Mf7O6Cc68JN/Ue+aMq//YORJ4eMAcdw==" saltValue="RfWmJ3fogeC4KMQuJ9I0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0.85863119685197031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0.85935537454997735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0.85951021711549203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0.85990905654705829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0.85744793258120211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0.85871036910644649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0.85838738224805933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0.85902085802348693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0.77276807716677332</v>
      </c>
      <c r="E10" s="90">
        <f>E3*0.9</f>
        <v>0.77341983709497963</v>
      </c>
      <c r="F10" s="90">
        <f>F3*0.9</f>
        <v>0.7735591954039428</v>
      </c>
      <c r="G10" s="90">
        <f>G3*0.9</f>
        <v>0.7739181508923525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0.77170313932308188</v>
      </c>
      <c r="E12" s="90">
        <f>E5*0.9</f>
        <v>0.77283933219580181</v>
      </c>
      <c r="F12" s="90">
        <f>F5*0.9</f>
        <v>0.77254864402325341</v>
      </c>
      <c r="G12" s="90">
        <f>G5*0.9</f>
        <v>0.77311877222113823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0.90156275669456887</v>
      </c>
      <c r="E17" s="90">
        <f>E3*1.05</f>
        <v>0.9023231432774762</v>
      </c>
      <c r="F17" s="90">
        <f>F3*1.05</f>
        <v>0.90248572797126669</v>
      </c>
      <c r="G17" s="90">
        <f>G3*1.05</f>
        <v>0.90290450937441125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0.90032032921026228</v>
      </c>
      <c r="E19" s="90">
        <f>E5*1.05</f>
        <v>0.90164588756176889</v>
      </c>
      <c r="F19" s="90">
        <f>F5*1.05</f>
        <v>0.90130675136046234</v>
      </c>
      <c r="G19" s="90">
        <f>G5*1.05</f>
        <v>0.90197190092466129</v>
      </c>
    </row>
  </sheetData>
  <sheetProtection algorithmName="SHA-512" hashValue="IUbjONIHuwwzxsgarRmjI8Mu3gs62fY392Vc2qa4mVflYaoYvT2b8t/FVC3Cko9eK6dd78tSYZELY8xRYAogEQ==" saltValue="bVsQqVciOpaE+bl9R8qrL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pDt43j8njKNEpcFml7pw/jwqZjW3Fq4lVGIgEWMYhVdNMPwPnBqlDwOoMtPRVtnWjOUcGSyO1QoYTSRFihAF+g==" saltValue="vwfZCmLkyxRVY36FFf6e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YDdVksj7rJI23sHAHho00Qo6q9cOWoCk69wtpcFygsfqjZCzAYYK4Os1nKSu5LxvaHQsolNxHLwXPiS+84g2DA==" saltValue="tBi69EM+xs8F5Toy5OGpB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0.1147760351077817</v>
      </c>
    </row>
    <row r="5" spans="1:8" ht="15.75" customHeight="1" x14ac:dyDescent="0.25">
      <c r="B5" s="19" t="s">
        <v>80</v>
      </c>
      <c r="C5" s="101">
        <v>4.4256510457350823E-2</v>
      </c>
    </row>
    <row r="6" spans="1:8" ht="15.75" customHeight="1" x14ac:dyDescent="0.25">
      <c r="B6" s="19" t="s">
        <v>81</v>
      </c>
      <c r="C6" s="101">
        <v>0.13307012370577639</v>
      </c>
    </row>
    <row r="7" spans="1:8" ht="15.75" customHeight="1" x14ac:dyDescent="0.25">
      <c r="B7" s="19" t="s">
        <v>82</v>
      </c>
      <c r="C7" s="101">
        <v>0.3564622360113876</v>
      </c>
    </row>
    <row r="8" spans="1:8" ht="15.75" customHeight="1" x14ac:dyDescent="0.25">
      <c r="B8" s="19" t="s">
        <v>83</v>
      </c>
      <c r="C8" s="101">
        <v>8.903333702310676E-3</v>
      </c>
    </row>
    <row r="9" spans="1:8" ht="15.75" customHeight="1" x14ac:dyDescent="0.25">
      <c r="B9" s="19" t="s">
        <v>84</v>
      </c>
      <c r="C9" s="101">
        <v>0.21499514763180719</v>
      </c>
    </row>
    <row r="10" spans="1:8" ht="15.75" customHeight="1" x14ac:dyDescent="0.25">
      <c r="B10" s="19" t="s">
        <v>85</v>
      </c>
      <c r="C10" s="101">
        <v>0.12753661338358549</v>
      </c>
    </row>
    <row r="11" spans="1:8" ht="15.75" customHeight="1" x14ac:dyDescent="0.25">
      <c r="B11" s="27" t="s">
        <v>41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0.131760998969534</v>
      </c>
      <c r="D14" s="55">
        <v>0.131760998969534</v>
      </c>
      <c r="E14" s="55">
        <v>0.131760998969534</v>
      </c>
      <c r="F14" s="55">
        <v>0.131760998969534</v>
      </c>
    </row>
    <row r="15" spans="1:8" ht="15.75" customHeight="1" x14ac:dyDescent="0.25">
      <c r="B15" s="19" t="s">
        <v>88</v>
      </c>
      <c r="C15" s="101">
        <v>0.21798024026383209</v>
      </c>
      <c r="D15" s="101">
        <v>0.21798024026383209</v>
      </c>
      <c r="E15" s="101">
        <v>0.21798024026383209</v>
      </c>
      <c r="F15" s="101">
        <v>0.21798024026383209</v>
      </c>
    </row>
    <row r="16" spans="1:8" ht="15.75" customHeight="1" x14ac:dyDescent="0.25">
      <c r="B16" s="19" t="s">
        <v>89</v>
      </c>
      <c r="C16" s="101">
        <v>2.088794439630004E-2</v>
      </c>
      <c r="D16" s="101">
        <v>2.088794439630004E-2</v>
      </c>
      <c r="E16" s="101">
        <v>2.088794439630004E-2</v>
      </c>
      <c r="F16" s="101">
        <v>2.088794439630004E-2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7.5005618514232533E-3</v>
      </c>
      <c r="D19" s="101">
        <v>7.5005618514232533E-3</v>
      </c>
      <c r="E19" s="101">
        <v>7.5005618514232533E-3</v>
      </c>
      <c r="F19" s="101">
        <v>7.5005618514232533E-3</v>
      </c>
    </row>
    <row r="20" spans="1:8" ht="15.75" customHeight="1" x14ac:dyDescent="0.25">
      <c r="B20" s="19" t="s">
        <v>93</v>
      </c>
      <c r="C20" s="101">
        <v>9.2864094483160135E-3</v>
      </c>
      <c r="D20" s="101">
        <v>9.2864094483160135E-3</v>
      </c>
      <c r="E20" s="101">
        <v>9.2864094483160135E-3</v>
      </c>
      <c r="F20" s="101">
        <v>9.2864094483160135E-3</v>
      </c>
    </row>
    <row r="21" spans="1:8" ht="15.75" customHeight="1" x14ac:dyDescent="0.25">
      <c r="B21" s="19" t="s">
        <v>94</v>
      </c>
      <c r="C21" s="101">
        <v>7.1821319634281386E-2</v>
      </c>
      <c r="D21" s="101">
        <v>7.1821319634281386E-2</v>
      </c>
      <c r="E21" s="101">
        <v>7.1821319634281386E-2</v>
      </c>
      <c r="F21" s="101">
        <v>7.1821319634281386E-2</v>
      </c>
    </row>
    <row r="22" spans="1:8" ht="15.75" customHeight="1" x14ac:dyDescent="0.25">
      <c r="B22" s="19" t="s">
        <v>95</v>
      </c>
      <c r="C22" s="101">
        <v>0.5407625254363132</v>
      </c>
      <c r="D22" s="101">
        <v>0.5407625254363132</v>
      </c>
      <c r="E22" s="101">
        <v>0.5407625254363132</v>
      </c>
      <c r="F22" s="101">
        <v>0.5407625254363132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2.3295386000000001E-2</v>
      </c>
    </row>
    <row r="27" spans="1:8" ht="15.75" customHeight="1" x14ac:dyDescent="0.25">
      <c r="B27" s="19" t="s">
        <v>102</v>
      </c>
      <c r="C27" s="101">
        <v>9.7438085999999993E-2</v>
      </c>
    </row>
    <row r="28" spans="1:8" ht="15.75" customHeight="1" x14ac:dyDescent="0.25">
      <c r="B28" s="19" t="s">
        <v>103</v>
      </c>
      <c r="C28" s="101">
        <v>0.31612977399999997</v>
      </c>
    </row>
    <row r="29" spans="1:8" ht="15.75" customHeight="1" x14ac:dyDescent="0.25">
      <c r="B29" s="19" t="s">
        <v>104</v>
      </c>
      <c r="C29" s="101">
        <v>0.192412257</v>
      </c>
    </row>
    <row r="30" spans="1:8" ht="15.75" customHeight="1" x14ac:dyDescent="0.25">
      <c r="B30" s="19" t="s">
        <v>2</v>
      </c>
      <c r="C30" s="101">
        <v>0.10694290400000001</v>
      </c>
    </row>
    <row r="31" spans="1:8" ht="15.75" customHeight="1" x14ac:dyDescent="0.25">
      <c r="B31" s="19" t="s">
        <v>105</v>
      </c>
      <c r="C31" s="101">
        <v>2.3714310999999998E-2</v>
      </c>
    </row>
    <row r="32" spans="1:8" ht="15.75" customHeight="1" x14ac:dyDescent="0.25">
      <c r="B32" s="19" t="s">
        <v>106</v>
      </c>
      <c r="C32" s="101">
        <v>2.6508690000000001E-3</v>
      </c>
    </row>
    <row r="33" spans="2:3" ht="15.75" customHeight="1" x14ac:dyDescent="0.25">
      <c r="B33" s="19" t="s">
        <v>107</v>
      </c>
      <c r="C33" s="101">
        <v>0.189281701</v>
      </c>
    </row>
    <row r="34" spans="2:3" ht="15.75" customHeight="1" x14ac:dyDescent="0.25">
      <c r="B34" s="19" t="s">
        <v>108</v>
      </c>
      <c r="C34" s="101">
        <v>4.813471099999999E-2</v>
      </c>
    </row>
    <row r="35" spans="2:3" ht="15.75" customHeight="1" x14ac:dyDescent="0.25">
      <c r="B35" s="27" t="s">
        <v>41</v>
      </c>
      <c r="C35" s="48">
        <f>SUM(C26:C34)</f>
        <v>0.99999999899999992</v>
      </c>
    </row>
  </sheetData>
  <sheetProtection algorithmName="SHA-512" hashValue="AE4r3XJLopCeuwoSKzaCHr8t2YPz1TU1/cS157w3NTBZkksuJf4GwdrsuQMA9KZbwTh7QxpYsZUJhjAtQGD6Og==" saltValue="UQF868G9VO9CMDclo4K16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0.59898171702762282</v>
      </c>
      <c r="D2" s="52">
        <f>IFERROR(1-_xlfn.NORM.DIST(_xlfn.NORM.INV(SUM(D4:D5), 0, 1) + 1, 0, 1, TRUE), "")</f>
        <v>0.59898171702762282</v>
      </c>
      <c r="E2" s="52">
        <f>IFERROR(1-_xlfn.NORM.DIST(_xlfn.NORM.INV(SUM(E4:E5), 0, 1) + 1, 0, 1, TRUE), "")</f>
        <v>0.53412716100807456</v>
      </c>
      <c r="F2" s="52">
        <f>IFERROR(1-_xlfn.NORM.DIST(_xlfn.NORM.INV(SUM(F4:F5), 0, 1) + 1, 0, 1, TRUE), "")</f>
        <v>0.4337635678713434</v>
      </c>
      <c r="G2" s="52">
        <f>IFERROR(1-_xlfn.NORM.DIST(_xlfn.NORM.INV(SUM(G4:G5), 0, 1) + 1, 0, 1, TRUE), "")</f>
        <v>0.34791472689662806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0.29549854864935243</v>
      </c>
      <c r="D3" s="52">
        <f>IFERROR(_xlfn.NORM.DIST(_xlfn.NORM.INV(SUM(D4:D5), 0, 1) + 1, 0, 1, TRUE) - SUM(D4:D5), "")</f>
        <v>0.29549854864935243</v>
      </c>
      <c r="E3" s="52">
        <f>IFERROR(_xlfn.NORM.DIST(_xlfn.NORM.INV(SUM(E4:E5), 0, 1) + 1, 0, 1, TRUE) - SUM(E4:E5), "")</f>
        <v>0.32705561806564065</v>
      </c>
      <c r="F3" s="52">
        <f>IFERROR(_xlfn.NORM.DIST(_xlfn.NORM.INV(SUM(F4:F5), 0, 1) + 1, 0, 1, TRUE) - SUM(F4:F5), "")</f>
        <v>0.36387035944412993</v>
      </c>
      <c r="G3" s="52">
        <f>IFERROR(_xlfn.NORM.DIST(_xlfn.NORM.INV(SUM(G4:G5), 0, 1) + 1, 0, 1, TRUE) - SUM(G4:G5), "")</f>
        <v>0.3808374987408073</v>
      </c>
    </row>
    <row r="4" spans="1:15" ht="15.75" customHeight="1" x14ac:dyDescent="0.25">
      <c r="B4" s="5" t="s">
        <v>114</v>
      </c>
      <c r="C4" s="45">
        <v>7.1878381073474898E-2</v>
      </c>
      <c r="D4" s="53">
        <v>7.1878381073474898E-2</v>
      </c>
      <c r="E4" s="53">
        <v>9.9595688283443506E-2</v>
      </c>
      <c r="F4" s="53">
        <v>0.15214909613132499</v>
      </c>
      <c r="G4" s="53">
        <v>0.19974066317081501</v>
      </c>
    </row>
    <row r="5" spans="1:15" ht="15.75" customHeight="1" x14ac:dyDescent="0.25">
      <c r="B5" s="5" t="s">
        <v>115</v>
      </c>
      <c r="C5" s="45">
        <v>3.36413532495499E-2</v>
      </c>
      <c r="D5" s="53">
        <v>3.36413532495499E-2</v>
      </c>
      <c r="E5" s="53">
        <v>3.9221532642841297E-2</v>
      </c>
      <c r="F5" s="53">
        <v>5.0216976553201703E-2</v>
      </c>
      <c r="G5" s="53">
        <v>7.1507111191749601E-2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0.80264992564769799</v>
      </c>
      <c r="D8" s="52">
        <f>IFERROR(1-_xlfn.NORM.DIST(_xlfn.NORM.INV(SUM(D10:D11), 0, 1) + 1, 0, 1, TRUE), "")</f>
        <v>0.80264992564769799</v>
      </c>
      <c r="E8" s="52">
        <f>IFERROR(1-_xlfn.NORM.DIST(_xlfn.NORM.INV(SUM(E10:E11), 0, 1) + 1, 0, 1, TRUE), "")</f>
        <v>0.87406894566520488</v>
      </c>
      <c r="F8" s="52">
        <f>IFERROR(1-_xlfn.NORM.DIST(_xlfn.NORM.INV(SUM(F10:F11), 0, 1) + 1, 0, 1, TRUE), "")</f>
        <v>0.86717232760775709</v>
      </c>
      <c r="G8" s="52">
        <f>IFERROR(1-_xlfn.NORM.DIST(_xlfn.NORM.INV(SUM(G10:G11), 0, 1) + 1, 0, 1, TRUE), "")</f>
        <v>0.91506755463138656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0.16527425851819699</v>
      </c>
      <c r="D9" s="52">
        <f>IFERROR(_xlfn.NORM.DIST(_xlfn.NORM.INV(SUM(D10:D11), 0, 1) + 1, 0, 1, TRUE) - SUM(D10:D11), "")</f>
        <v>0.16527425851819699</v>
      </c>
      <c r="E9" s="52">
        <f>IFERROR(_xlfn.NORM.DIST(_xlfn.NORM.INV(SUM(E10:E11), 0, 1) + 1, 0, 1, TRUE) - SUM(E10:E11), "")</f>
        <v>0.10998810918972446</v>
      </c>
      <c r="F9" s="52">
        <f>IFERROR(_xlfn.NORM.DIST(_xlfn.NORM.INV(SUM(F10:F11), 0, 1) + 1, 0, 1, TRUE) - SUM(F10:F11), "")</f>
        <v>0.11553257771965239</v>
      </c>
      <c r="G9" s="52">
        <f>IFERROR(_xlfn.NORM.DIST(_xlfn.NORM.INV(SUM(G10:G11), 0, 1) + 1, 0, 1, TRUE) - SUM(G10:G11), "")</f>
        <v>7.6101664972375527E-2</v>
      </c>
    </row>
    <row r="10" spans="1:15" ht="15.75" customHeight="1" x14ac:dyDescent="0.25">
      <c r="B10" s="5" t="s">
        <v>119</v>
      </c>
      <c r="C10" s="45">
        <v>2.08170972764492E-2</v>
      </c>
      <c r="D10" s="53">
        <v>2.08170972764492E-2</v>
      </c>
      <c r="E10" s="53">
        <v>1.06134526431561E-2</v>
      </c>
      <c r="F10" s="53">
        <v>1.3241312466561799E-2</v>
      </c>
      <c r="G10" s="53">
        <v>8.0759264528750992E-3</v>
      </c>
    </row>
    <row r="11" spans="1:15" ht="15.75" customHeight="1" x14ac:dyDescent="0.25">
      <c r="B11" s="5" t="s">
        <v>120</v>
      </c>
      <c r="C11" s="45">
        <v>1.1258718557655799E-2</v>
      </c>
      <c r="D11" s="53">
        <v>1.1258718557655799E-2</v>
      </c>
      <c r="E11" s="53">
        <v>5.3294925019145003E-3</v>
      </c>
      <c r="F11" s="53">
        <v>4.0537822060286999E-3</v>
      </c>
      <c r="G11" s="53">
        <v>7.5485394336279998E-4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0.64111971849999994</v>
      </c>
      <c r="D14" s="54">
        <v>0.61129918249399995</v>
      </c>
      <c r="E14" s="54">
        <v>0.61129918249399995</v>
      </c>
      <c r="F14" s="54">
        <v>0.28696047060300001</v>
      </c>
      <c r="G14" s="54">
        <v>0.28696047060300001</v>
      </c>
      <c r="H14" s="45">
        <v>0.21299999999999999</v>
      </c>
      <c r="I14" s="55">
        <v>0.21299999999999999</v>
      </c>
      <c r="J14" s="55">
        <v>0.21299999999999999</v>
      </c>
      <c r="K14" s="55">
        <v>0.21299999999999999</v>
      </c>
      <c r="L14" s="45">
        <v>0.17599999999999999</v>
      </c>
      <c r="M14" s="55">
        <v>0.17599999999999999</v>
      </c>
      <c r="N14" s="55">
        <v>0.17599999999999999</v>
      </c>
      <c r="O14" s="55">
        <v>0.17599999999999999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0.40241866602779841</v>
      </c>
      <c r="D15" s="52">
        <f t="shared" si="0"/>
        <v>0.38370088216701637</v>
      </c>
      <c r="E15" s="52">
        <f t="shared" si="0"/>
        <v>0.38370088216701637</v>
      </c>
      <c r="F15" s="52">
        <f t="shared" si="0"/>
        <v>0.18011963514856164</v>
      </c>
      <c r="G15" s="52">
        <f t="shared" si="0"/>
        <v>0.18011963514856164</v>
      </c>
      <c r="H15" s="52">
        <f t="shared" si="0"/>
        <v>0.13369605299999998</v>
      </c>
      <c r="I15" s="52">
        <f t="shared" si="0"/>
        <v>0.13369605299999998</v>
      </c>
      <c r="J15" s="52">
        <f t="shared" si="0"/>
        <v>0.13369605299999998</v>
      </c>
      <c r="K15" s="52">
        <f t="shared" si="0"/>
        <v>0.13369605299999998</v>
      </c>
      <c r="L15" s="52">
        <f t="shared" si="0"/>
        <v>0.11047185599999998</v>
      </c>
      <c r="M15" s="52">
        <f t="shared" si="0"/>
        <v>0.11047185599999998</v>
      </c>
      <c r="N15" s="52">
        <f t="shared" si="0"/>
        <v>0.11047185599999998</v>
      </c>
      <c r="O15" s="52">
        <f t="shared" si="0"/>
        <v>0.11047185599999998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dtGxW+/iLQCgH8cSqs3anSTQ65F0H/ppx0g7FtZx3/YPJndv9MiinEYkHWBpspkC04En4JFhLn7asNzWc87l7g==" saltValue="e7p1EqxYrCOE6pBX3Dfg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0.44692313671112099</v>
      </c>
      <c r="D2" s="53">
        <v>0.30249359999999997</v>
      </c>
      <c r="E2" s="53"/>
      <c r="F2" s="53"/>
      <c r="G2" s="53"/>
    </row>
    <row r="3" spans="1:7" x14ac:dyDescent="0.25">
      <c r="B3" s="3" t="s">
        <v>130</v>
      </c>
      <c r="C3" s="53">
        <v>8.6899355053901714E-2</v>
      </c>
      <c r="D3" s="53">
        <v>0.16129950000000001</v>
      </c>
      <c r="E3" s="53"/>
      <c r="F3" s="53"/>
      <c r="G3" s="53"/>
    </row>
    <row r="4" spans="1:7" x14ac:dyDescent="0.25">
      <c r="B4" s="3" t="s">
        <v>131</v>
      </c>
      <c r="C4" s="53">
        <v>0.42141461372375499</v>
      </c>
      <c r="D4" s="53">
        <v>0.4591578</v>
      </c>
      <c r="E4" s="53">
        <v>0.79619401693344105</v>
      </c>
      <c r="F4" s="53">
        <v>0.58911865949630704</v>
      </c>
      <c r="G4" s="53"/>
    </row>
    <row r="5" spans="1:7" x14ac:dyDescent="0.25">
      <c r="B5" s="3" t="s">
        <v>132</v>
      </c>
      <c r="C5" s="52">
        <v>4.4762894511222798E-2</v>
      </c>
      <c r="D5" s="52">
        <v>7.7049203217029599E-2</v>
      </c>
      <c r="E5" s="52">
        <f>1-SUM(E2:E4)</f>
        <v>0.20380598306655895</v>
      </c>
      <c r="F5" s="52">
        <f>1-SUM(F2:F4)</f>
        <v>0.41088134050369296</v>
      </c>
      <c r="G5" s="52">
        <f>1-SUM(G2:G4)</f>
        <v>1</v>
      </c>
    </row>
  </sheetData>
  <sheetProtection algorithmName="SHA-512" hashValue="5XehnICo/+ANJyz7J04t9lMnX1a93NVNNgRmdjhfRm7rvVAO7R72g9tC1VVCpUjK/p9JaAuWl4DJHqm6B2e13g==" saltValue="V+sA83tBV2aNof4aOmybL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98aWDogDyikB5CzwzmpBnbSWna1j3GKFc5vp75Xu2KX+hqJo8inCkgvXjNgbXgAoSwsnPQJMllhflSZbCreI4g==" saltValue="Cskx1y8Cop/q0vs1XhwMr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u1XcEXT6yt7iF2TULb1cOzI9csl4K7NZ9bE7MWs/8ASB5sur3wvhsXr6ylSM6ukk3joXgl2PPCmNcG5QrtxRMg==" saltValue="j42c3CQPHoaRKeIbCNtRz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E0WiIXn2KY70VpBLSYpB3ckj3/by3drMQNU8xfCcfiPvLflypuZgba8TDsWr4LBV066EcD01tfjcvmjF+CkSgg==" saltValue="JYh4ZfdkcB9Bj0FiBqiNf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2Qx4QAxyJaLNXkW4R+q8Y6d374RrZffAnvsm15vyQdxhMfaY3FZAIjMRVMdHaqIfYGaMeXMKSJHYnMN27BuhSQ==" saltValue="urE2UVLeu9NoOqjBxmpEd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2024-03-15T02:59:17Z</dcterms:modified>
</cp:coreProperties>
</file>