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9D6C3771-FE31-47B4-9CA9-476983A9F23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C17" i="26"/>
  <c r="C12" i="26"/>
  <c r="G10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G38" i="2"/>
  <c r="I38" i="2" s="1"/>
  <c r="A30" i="2"/>
  <c r="A29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15" i="2" l="1"/>
  <c r="A18" i="2"/>
  <c r="A34" i="2"/>
  <c r="F19" i="26"/>
  <c r="A37" i="2"/>
  <c r="A21" i="2"/>
  <c r="A3" i="2"/>
  <c r="A22" i="2"/>
  <c r="A23" i="2"/>
  <c r="G12" i="26"/>
  <c r="A31" i="2"/>
  <c r="A40" i="2"/>
  <c r="A38" i="2"/>
  <c r="A26" i="2"/>
  <c r="D10" i="26"/>
  <c r="E10" i="26"/>
  <c r="A16" i="2"/>
  <c r="A24" i="2"/>
  <c r="A32" i="2"/>
  <c r="F10" i="26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<sst xmlns="http://schemas.openxmlformats.org/spreadsheetml/2006/main" count="2092" uniqueCount="337">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</sst>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2012015.765625</v>
      </c>
    </row>
    <row r="8" spans="1:3" ht="15" customHeight="1" x14ac:dyDescent="0.25">
      <c r="B8" s="5" t="s">
        <v>19</v>
      </c>
      <c r="C8" s="44">
        <v>0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1</v>
      </c>
    </row>
    <row r="11" spans="1:3" ht="15" customHeight="1" x14ac:dyDescent="0.25">
      <c r="B11" s="5" t="s">
        <v>22</v>
      </c>
      <c r="C11" s="45">
        <v>0.95299999999999996</v>
      </c>
    </row>
    <row r="12" spans="1:3" ht="15" customHeight="1" x14ac:dyDescent="0.25">
      <c r="B12" s="5" t="s">
        <v>23</v>
      </c>
      <c r="C12" s="45">
        <v>0.81200000000000006</v>
      </c>
    </row>
    <row r="13" spans="1:3" ht="15" customHeight="1" x14ac:dyDescent="0.25">
      <c r="B13" s="5" t="s">
        <v>24</v>
      </c>
      <c r="C13" s="45">
        <v>0.20399999999999999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8.2799999999999999E-2</v>
      </c>
    </row>
    <row r="24" spans="1:3" ht="15" customHeight="1" x14ac:dyDescent="0.25">
      <c r="B24" s="15" t="s">
        <v>33</v>
      </c>
      <c r="C24" s="45">
        <v>0.55079999999999996</v>
      </c>
    </row>
    <row r="25" spans="1:3" ht="15" customHeight="1" x14ac:dyDescent="0.25">
      <c r="B25" s="15" t="s">
        <v>34</v>
      </c>
      <c r="C25" s="45">
        <v>0.33279999999999998</v>
      </c>
    </row>
    <row r="26" spans="1:3" ht="15" customHeight="1" x14ac:dyDescent="0.25">
      <c r="B26" s="15" t="s">
        <v>35</v>
      </c>
      <c r="C26" s="45">
        <v>3.3599999999999998E-2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0.36614845468901602</v>
      </c>
    </row>
    <row r="30" spans="1:3" ht="14.25" customHeight="1" x14ac:dyDescent="0.25">
      <c r="B30" s="25" t="s">
        <v>38</v>
      </c>
      <c r="C30" s="99">
        <v>8.5813228127425589E-2</v>
      </c>
    </row>
    <row r="31" spans="1:3" ht="14.25" customHeight="1" x14ac:dyDescent="0.25">
      <c r="B31" s="25" t="s">
        <v>39</v>
      </c>
      <c r="C31" s="99">
        <v>0.11932858169641999</v>
      </c>
    </row>
    <row r="32" spans="1:3" ht="14.25" customHeight="1" x14ac:dyDescent="0.25">
      <c r="B32" s="25" t="s">
        <v>40</v>
      </c>
      <c r="C32" s="99">
        <v>0.42870973548713898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4.6644885199815</v>
      </c>
    </row>
    <row r="38" spans="1:5" ht="15" customHeight="1" x14ac:dyDescent="0.25">
      <c r="B38" s="11" t="s">
        <v>45</v>
      </c>
      <c r="C38" s="43">
        <v>9.3023771690621295</v>
      </c>
      <c r="D38" s="12"/>
      <c r="E38" s="13"/>
    </row>
    <row r="39" spans="1:5" ht="15" customHeight="1" x14ac:dyDescent="0.25">
      <c r="B39" s="11" t="s">
        <v>46</v>
      </c>
      <c r="C39" s="43">
        <v>10.45053003804</v>
      </c>
      <c r="D39" s="12"/>
      <c r="E39" s="12"/>
    </row>
    <row r="40" spans="1:5" ht="15" customHeight="1" x14ac:dyDescent="0.25">
      <c r="B40" s="11" t="s">
        <v>47</v>
      </c>
      <c r="C40" s="100">
        <v>0.1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5.3894673099999997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4.6274000000000003E-3</v>
      </c>
      <c r="D45" s="12"/>
    </row>
    <row r="46" spans="1:5" ht="15.75" customHeight="1" x14ac:dyDescent="0.25">
      <c r="B46" s="11" t="s">
        <v>52</v>
      </c>
      <c r="C46" s="45">
        <v>5.0329499999999999E-2</v>
      </c>
      <c r="D46" s="12"/>
    </row>
    <row r="47" spans="1:5" ht="15.75" customHeight="1" x14ac:dyDescent="0.25">
      <c r="B47" s="11" t="s">
        <v>53</v>
      </c>
      <c r="C47" s="45">
        <v>3.3543299999999998E-2</v>
      </c>
      <c r="D47" s="12"/>
      <c r="E47" s="13"/>
    </row>
    <row r="48" spans="1:5" ht="15" customHeight="1" x14ac:dyDescent="0.25">
      <c r="B48" s="11" t="s">
        <v>54</v>
      </c>
      <c r="C48" s="46">
        <v>0.91149979999999997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0.6155790000000001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5.4285702999999901E-2</v>
      </c>
    </row>
    <row r="63" spans="1:4" ht="15.75" customHeight="1" x14ac:dyDescent="0.3">
      <c r="A63" s="4"/>
    </row>
  </sheetData>
  <sheetProtection algorithmName="SHA-512" hashValue="hvIR/YR0D9CfP+auoB6HjV4GXQ1sN7K/8OAEwsqwPAbpIVAsl0s6XNcZJamCVloG9ylQtvoGWhqmqItuH5eAzg==" saltValue="fBEMo8v7K1vLV/zYkDgP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0.90408009237760201</v>
      </c>
      <c r="C2" s="98">
        <v>0.95</v>
      </c>
      <c r="D2" s="56">
        <v>80.804937896193479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40.390616174846663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771.46935681029902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5.3213875403317896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13.522915618642561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13.522915618642561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13.522915618642561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13.522915618642561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13.522915618642561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13.522915618642561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0.95717651954678795</v>
      </c>
      <c r="C16" s="98">
        <v>0.95</v>
      </c>
      <c r="D16" s="56">
        <v>1.2296814185379119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17.67766297845575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17.67766297845575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0.66691672801971391</v>
      </c>
      <c r="C21" s="98">
        <v>0.95</v>
      </c>
      <c r="D21" s="56">
        <v>60.730148203505237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23.604022972406518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0.25818420409999998</v>
      </c>
      <c r="C23" s="98">
        <v>0.95</v>
      </c>
      <c r="D23" s="56">
        <v>4.5985477715053404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0.97760517333979391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0.90133043507252297</v>
      </c>
      <c r="C27" s="98">
        <v>0.95</v>
      </c>
      <c r="D27" s="56">
        <v>19.08390202702364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0.61788880000000002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165.62974913682319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1.20038967895152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0.35208210000000001</v>
      </c>
      <c r="C32" s="98">
        <v>0.95</v>
      </c>
      <c r="D32" s="56">
        <v>2.6928411357214559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0.97873701678292901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2.0061220772807462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0.48980810000000002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781XFXz+EbVT1mZLxu4jeFDgYrkHGXD+ihffZnsqTOYDpUvabMkMWy6DPXjfcvlpApB5Y9i47QkbNhMpdtGUDw==" saltValue="TXX2yO6Tk5QanQJIkHn3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hMolrWejWfwj6wRs+lnbna7mWt3dMFmS8b8zlNeH/YcQpJaDYHIIKpCN9uEr32TkQm39AtPulUepvgrhzbrbFQ==" saltValue="7Y1HoI+ekxHdHp5EhvOPi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do3r2gq5fkBlW9AUHyA4N1bs4BhgACx5biGIIsbKzj+zfuMBmeqTECCaK6oTZuctRpE+9rrkJ7+LHf5cEdUx3A==" saltValue="9Jr93KY27JOBpAbTcAqY4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0.22800342291593542</v>
      </c>
      <c r="C3" s="21">
        <f>frac_mam_1_5months * 2.6</f>
        <v>0.22800342291593542</v>
      </c>
      <c r="D3" s="21">
        <f>frac_mam_6_11months * 2.6</f>
        <v>4.8760762810707223E-2</v>
      </c>
      <c r="E3" s="21">
        <f>frac_mam_12_23months * 2.6</f>
        <v>4.4592105969786702E-2</v>
      </c>
      <c r="F3" s="21">
        <f>frac_mam_24_59months * 2.6</f>
        <v>3.189896550029514E-2</v>
      </c>
    </row>
    <row r="4" spans="1:6" ht="15.75" customHeight="1" x14ac:dyDescent="0.25">
      <c r="A4" s="3" t="s">
        <v>208</v>
      </c>
      <c r="B4" s="21">
        <f>frac_sam_1month * 2.6</f>
        <v>0.126932194083929</v>
      </c>
      <c r="C4" s="21">
        <f>frac_sam_1_5months * 2.6</f>
        <v>0.126932194083929</v>
      </c>
      <c r="D4" s="21">
        <f>frac_sam_6_11months * 2.6</f>
        <v>2.4820344708859961E-2</v>
      </c>
      <c r="E4" s="21">
        <f>frac_sam_12_23months * 2.6</f>
        <v>2.2428401559591297E-2</v>
      </c>
      <c r="F4" s="21">
        <f>frac_sam_24_59months * 2.6</f>
        <v>1.5295980032533459E-2</v>
      </c>
    </row>
  </sheetData>
  <sheetProtection algorithmName="SHA-512" hashValue="mZ4UJlhZfG8hgPTD8LtrWuFCgIIPthxyW7yb57pxRBGAt8Y3F3JmmOk5P13pn0VtT6lQ75HXjK48+VnmWOqwmg==" saltValue="Bd5GLOZkCxXG7M3zoDS9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0.81200000000000006</v>
      </c>
      <c r="E10" s="60">
        <f>IF(ISBLANK(comm_deliv), frac_children_health_facility,1)</f>
        <v>0.81200000000000006</v>
      </c>
      <c r="F10" s="60">
        <f>IF(ISBLANK(comm_deliv), frac_children_health_facility,1)</f>
        <v>0.81200000000000006</v>
      </c>
      <c r="G10" s="60">
        <f>IF(ISBLANK(comm_deliv), frac_children_health_facility,1)</f>
        <v>0.81200000000000006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0.95299999999999996</v>
      </c>
      <c r="I18" s="60">
        <f>frac_PW_health_facility</f>
        <v>0.95299999999999996</v>
      </c>
      <c r="J18" s="60">
        <f>frac_PW_health_facility</f>
        <v>0.95299999999999996</v>
      </c>
      <c r="K18" s="60">
        <f>frac_PW_health_facility</f>
        <v>0.95299999999999996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0.20399999999999999</v>
      </c>
      <c r="M24" s="60">
        <f>famplan_unmet_need</f>
        <v>0.20399999999999999</v>
      </c>
      <c r="N24" s="60">
        <f>famplan_unmet_need</f>
        <v>0.20399999999999999</v>
      </c>
      <c r="O24" s="60">
        <f>famplan_unmet_need</f>
        <v>0.20399999999999999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OPNIk44x2/4ZTZuvIVLw5496zVeEBChOIArCLk8FdoMwms1b9MJd3Vlz8tvN54ka7kXz4rFgQPJzVE+TIsmc+A==" saltValue="B3Dd77urAUp3OwiEXecMn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ZRFlUdhpMHWWVbvqr+HEF3lgdZMZX2W1wuwCz5EjtiIKvY4dRo6u2hvlhkRzTdvkDD0VybAKyY+oB60hhRdL5Q==" saltValue="4Y4nXyd+/1TNxTBa+roEC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cKpAyKHidRUyp06tnR68bKTPLZdWpBUX1QGkwX8iVaNX6kiRcCcirl077my2YE/97Y0ukegd4C/Qx1YVggMnA==" saltValue="QX5kamODM7Wicz4wmNLgb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1pZTkFuPhxg9/WsF73xACXMyMmBlNnAAUiqpXDPsU9SFwxc5G8LDjcGionikBWXj6Pma7ZhsQKwBO/Ij8zvqw==" saltValue="vPygnQkzElLkbA4inD7BF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t8hbGGtVjFAa25pM18IPlUg9E8/oos0NqmbNZXaeUYaD7Rbr/YOGkdCK8ku7QDAkgb4ui+9muJJe4fnqpQ4ag==" saltValue="PPRD3hfDhZsQOwMs1OX/x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YMh9nNfgAGOXzULdidIQzA8gKNdlmy38n5AmbU2o0bfAJTeeeGy48lez/5y2uesFDD3BAzwzxeKnwfu17LcNg==" saltValue="I1/dgFokaO7atnrAvJj4c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341528.94760000001</v>
      </c>
      <c r="C2" s="49">
        <v>584000</v>
      </c>
      <c r="D2" s="49">
        <v>1228000</v>
      </c>
      <c r="E2" s="49">
        <v>1559000</v>
      </c>
      <c r="F2" s="49">
        <v>1187000</v>
      </c>
      <c r="G2" s="17">
        <f t="shared" ref="G2:G11" si="0">C2+D2+E2+F2</f>
        <v>4558000</v>
      </c>
      <c r="H2" s="17">
        <f t="shared" ref="H2:H11" si="1">(B2 + stillbirth*B2/(1000-stillbirth))/(1-abortion)</f>
        <v>390204.06889170263</v>
      </c>
      <c r="I2" s="17">
        <f t="shared" ref="I2:I11" si="2">G2-H2</f>
        <v>4167795.9311082973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335671.64820000011</v>
      </c>
      <c r="C3" s="50">
        <v>627000</v>
      </c>
      <c r="D3" s="50">
        <v>1173000</v>
      </c>
      <c r="E3" s="50">
        <v>1587000</v>
      </c>
      <c r="F3" s="50">
        <v>1198000</v>
      </c>
      <c r="G3" s="17">
        <f t="shared" si="0"/>
        <v>4585000</v>
      </c>
      <c r="H3" s="17">
        <f t="shared" si="1"/>
        <v>383511.9800522122</v>
      </c>
      <c r="I3" s="17">
        <f t="shared" si="2"/>
        <v>4201488.0199477877</v>
      </c>
    </row>
    <row r="4" spans="1:9" ht="15.75" customHeight="1" x14ac:dyDescent="0.25">
      <c r="A4" s="5">
        <f t="shared" si="3"/>
        <v>2023</v>
      </c>
      <c r="B4" s="49">
        <v>329550.55920000008</v>
      </c>
      <c r="C4" s="50">
        <v>677000</v>
      </c>
      <c r="D4" s="50">
        <v>1127000</v>
      </c>
      <c r="E4" s="50">
        <v>1603000</v>
      </c>
      <c r="F4" s="50">
        <v>1210000</v>
      </c>
      <c r="G4" s="17">
        <f t="shared" si="0"/>
        <v>4617000</v>
      </c>
      <c r="H4" s="17">
        <f t="shared" si="1"/>
        <v>376518.50599786744</v>
      </c>
      <c r="I4" s="17">
        <f t="shared" si="2"/>
        <v>4240481.4940021327</v>
      </c>
    </row>
    <row r="5" spans="1:9" ht="15.75" customHeight="1" x14ac:dyDescent="0.25">
      <c r="A5" s="5">
        <f t="shared" si="3"/>
        <v>2024</v>
      </c>
      <c r="B5" s="49">
        <v>323174.17300000013</v>
      </c>
      <c r="C5" s="50">
        <v>729000</v>
      </c>
      <c r="D5" s="50">
        <v>1098000</v>
      </c>
      <c r="E5" s="50">
        <v>1602000</v>
      </c>
      <c r="F5" s="50">
        <v>1229000</v>
      </c>
      <c r="G5" s="17">
        <f t="shared" si="0"/>
        <v>4658000</v>
      </c>
      <c r="H5" s="17">
        <f t="shared" si="1"/>
        <v>369233.34947585297</v>
      </c>
      <c r="I5" s="17">
        <f t="shared" si="2"/>
        <v>4288766.6505241469</v>
      </c>
    </row>
    <row r="6" spans="1:9" ht="15.75" customHeight="1" x14ac:dyDescent="0.25">
      <c r="A6" s="5">
        <f t="shared" si="3"/>
        <v>2025</v>
      </c>
      <c r="B6" s="49">
        <v>316550.98200000002</v>
      </c>
      <c r="C6" s="50">
        <v>779000</v>
      </c>
      <c r="D6" s="50">
        <v>1091000</v>
      </c>
      <c r="E6" s="50">
        <v>1582000</v>
      </c>
      <c r="F6" s="50">
        <v>1260000</v>
      </c>
      <c r="G6" s="17">
        <f t="shared" si="0"/>
        <v>4712000</v>
      </c>
      <c r="H6" s="17">
        <f t="shared" si="1"/>
        <v>361666.2132333527</v>
      </c>
      <c r="I6" s="17">
        <f t="shared" si="2"/>
        <v>4350333.7867666474</v>
      </c>
    </row>
    <row r="7" spans="1:9" ht="15.75" customHeight="1" x14ac:dyDescent="0.25">
      <c r="A7" s="5">
        <f t="shared" si="3"/>
        <v>2026</v>
      </c>
      <c r="B7" s="49">
        <v>315027.80440000002</v>
      </c>
      <c r="C7" s="50">
        <v>826000</v>
      </c>
      <c r="D7" s="50">
        <v>1103000</v>
      </c>
      <c r="E7" s="50">
        <v>1542000</v>
      </c>
      <c r="F7" s="50">
        <v>1300000</v>
      </c>
      <c r="G7" s="17">
        <f t="shared" si="0"/>
        <v>4771000</v>
      </c>
      <c r="H7" s="17">
        <f t="shared" si="1"/>
        <v>359925.95050791954</v>
      </c>
      <c r="I7" s="17">
        <f t="shared" si="2"/>
        <v>4411074.0494920807</v>
      </c>
    </row>
    <row r="8" spans="1:9" ht="15.75" customHeight="1" x14ac:dyDescent="0.25">
      <c r="A8" s="5">
        <f t="shared" si="3"/>
        <v>2027</v>
      </c>
      <c r="B8" s="49">
        <v>313382.90999999997</v>
      </c>
      <c r="C8" s="50">
        <v>871000</v>
      </c>
      <c r="D8" s="50">
        <v>1136000</v>
      </c>
      <c r="E8" s="50">
        <v>1483000</v>
      </c>
      <c r="F8" s="50">
        <v>1348000</v>
      </c>
      <c r="G8" s="17">
        <f t="shared" si="0"/>
        <v>4838000</v>
      </c>
      <c r="H8" s="17">
        <f t="shared" si="1"/>
        <v>358046.623756007</v>
      </c>
      <c r="I8" s="17">
        <f t="shared" si="2"/>
        <v>4479953.3762439927</v>
      </c>
    </row>
    <row r="9" spans="1:9" ht="15.75" customHeight="1" x14ac:dyDescent="0.25">
      <c r="A9" s="5">
        <f t="shared" si="3"/>
        <v>2028</v>
      </c>
      <c r="B9" s="49">
        <v>311603.00079999998</v>
      </c>
      <c r="C9" s="50">
        <v>911000</v>
      </c>
      <c r="D9" s="50">
        <v>1188000</v>
      </c>
      <c r="E9" s="50">
        <v>1414000</v>
      </c>
      <c r="F9" s="50">
        <v>1401000</v>
      </c>
      <c r="G9" s="17">
        <f t="shared" si="0"/>
        <v>4914000</v>
      </c>
      <c r="H9" s="17">
        <f t="shared" si="1"/>
        <v>356013.03973047016</v>
      </c>
      <c r="I9" s="17">
        <f t="shared" si="2"/>
        <v>4557986.9602695294</v>
      </c>
    </row>
    <row r="10" spans="1:9" ht="15.75" customHeight="1" x14ac:dyDescent="0.25">
      <c r="A10" s="5">
        <f t="shared" si="3"/>
        <v>2029</v>
      </c>
      <c r="B10" s="49">
        <v>309722.04320000001</v>
      </c>
      <c r="C10" s="50">
        <v>940000</v>
      </c>
      <c r="D10" s="50">
        <v>1252000</v>
      </c>
      <c r="E10" s="50">
        <v>1342000</v>
      </c>
      <c r="F10" s="50">
        <v>1451000</v>
      </c>
      <c r="G10" s="17">
        <f t="shared" si="0"/>
        <v>4985000</v>
      </c>
      <c r="H10" s="17">
        <f t="shared" si="1"/>
        <v>353864.00576397788</v>
      </c>
      <c r="I10" s="17">
        <f t="shared" si="2"/>
        <v>4631135.9942360222</v>
      </c>
    </row>
    <row r="11" spans="1:9" ht="15.75" customHeight="1" x14ac:dyDescent="0.25">
      <c r="A11" s="5">
        <f t="shared" si="3"/>
        <v>2030</v>
      </c>
      <c r="B11" s="49">
        <v>307726.53999999998</v>
      </c>
      <c r="C11" s="50">
        <v>955000</v>
      </c>
      <c r="D11" s="50">
        <v>1324000</v>
      </c>
      <c r="E11" s="50">
        <v>1275000</v>
      </c>
      <c r="F11" s="50">
        <v>1493000</v>
      </c>
      <c r="G11" s="17">
        <f t="shared" si="0"/>
        <v>5047000</v>
      </c>
      <c r="H11" s="17">
        <f t="shared" si="1"/>
        <v>351584.10101915849</v>
      </c>
      <c r="I11" s="17">
        <f t="shared" si="2"/>
        <v>4695415.898980841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cW07qq29+SK6/noljggyzVtmGLxPFyBHHFq0qZosXXcgOat4wDSjbvtgKR69G21ChW6R9gAFlwL4jXr2LhPsg==" saltValue="cNE5spjp3g/TsZfk82YSQ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2.8394586276326423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2.8394586276326423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1.8643070364316221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1.8643070364316221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2.2153565932572818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2.2153565932572818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1.5710600062137505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1.5710600062137505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3.5292556129948829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3.5292556129948829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2.1884221750934802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2.1884221750934802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1AoQk0fK7MgkRqn/F3cTKOaCihx8akQeXW8HVFT/+7RDdVaKQ4cfEFZY5liBkKlx2cxLWoBtkX/lMLF4aj3mrA==" saltValue="6qXIQDTrW/Yam5ab3lTVb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yvOXlfsdXZHRNUj0E3Bb0naNX55ldXnbDdnuv+Lu6R8Y+NvcNQiInalZ2XGX+1cfFtDPRM9a7/o0gHHJZ5QjQw==" saltValue="n3YbLY0fm5e+eIfkVzO/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0MtgDTdz9fpjMWFWXVcdbv98/Yra8jpjgY0h3WCEaqtBka22bqIETNYBe8j4VJ7x/s7fz2lvfuIMRR6vI6XhEQ==" saltValue="ERGEX1Ez3Px1mFfWaX8K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0.62610938175269681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0.62610938175269681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0.87353999426843121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0.87353999426843121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0.87353999426843121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0.87353999426843121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0.42532174338412287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0.42532174338412287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0.84221456522559601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0.84221456522559601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0.84221456522559601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0.84221456522559601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0.91548652742242165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0.91548652742242165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0.904980613376836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0.904980613376836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0.904980613376836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0.904980613376836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vUOtl8T1l1lLiCRF8yvys8cIL5FP5Txq9uaVP3k6KxLftrvuevW9vDbB/H91UjbwTLoKBQTCQknewYzqRuORg==" saltValue="dsMgFo9oSQuG8U8x6/vu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MBzrFYTalK7aKmUpJT62/4D8PsMWzmnlKycMzylhhugtAmnflUqAJ+oxs11wjo8oFkX/BDyVMCuvBOG/ibsWXg==" saltValue="U1CiChLZJrnZdkvG1ESR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0.60078153275825952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0.66171295024488808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0.66171295024488808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0.64154035231462503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0.64154035231462503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0.64154035231462503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0.64154035231462503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0.6405463695183321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0.6405463695183321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0.6405463695183321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0.6405463695183321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0.7006836185508557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0.75264512887311774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0.75264512887311774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0.73572938689217748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0.73572938689217748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0.73572938689217748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0.73572938689217748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0.73488865323435859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0.73488865323435859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0.73488865323435859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0.73488865323435859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0.40723770735938536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0.471734691746997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0.471734691746997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0.44965543644716688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0.44965543644716688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0.44965543644716688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0.44965543644716688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0.44858670374721304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0.44858670374721304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0.44858670374721304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0.44858670374721304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0.57726570324394577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0.63963338979996065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0.63963338979996065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0.61890243902439024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0.61890243902439024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0.61890243902439024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0.61890243902439024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0.61788307222009942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0.61788307222009942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0.61788307222009942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0.61788307222009942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0.94980587526670279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0.96093103175225858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0.96093103175225858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0.95745405037440423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0.95745405037440423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0.95745405037440423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0.95745405037440423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0.95727773742897437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0.95727773742897437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0.95727773742897437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0.95727773742897437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0.87063759278525277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0.89741461322144733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0.89741461322144733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0.88893824966681456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0.88893824966681456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0.88893824966681456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0.88893824966681456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0.88851106527677159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0.88851106527677159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0.88851106527677159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0.88851106527677159</v>
      </c>
    </row>
  </sheetData>
  <sheetProtection algorithmName="SHA-512" hashValue="cmcfc5jLZrHzxlPNKvdCUTgUPDKRnF7vOk/Mo9Vpba+gUivjqSxYUt7Po7ZGI0UYpMBiGzzAZojgDYmxg8KwQA==" saltValue="kkIf58gjfK68ta3qTARa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0.85386446077715905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0.85884111287540377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0.85895362985376167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0.85928807652934536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0.84858046618238192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0.85770498633343628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0.85790412901629776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0.85850708043329871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0.76847801469944321</v>
      </c>
      <c r="E10" s="90">
        <f>E3*0.9</f>
        <v>0.7729570015878634</v>
      </c>
      <c r="F10" s="90">
        <f>F3*0.9</f>
        <v>0.77305826686838552</v>
      </c>
      <c r="G10" s="90">
        <f>G3*0.9</f>
        <v>0.77335926887641082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0.76372241956414377</v>
      </c>
      <c r="E12" s="90">
        <f>E5*0.9</f>
        <v>0.77193448770009265</v>
      </c>
      <c r="F12" s="90">
        <f>F5*0.9</f>
        <v>0.77211371611466795</v>
      </c>
      <c r="G12" s="90">
        <f>G5*0.9</f>
        <v>0.77265637238996887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0.89655768381601708</v>
      </c>
      <c r="E17" s="90">
        <f>E3*1.05</f>
        <v>0.90178316851917395</v>
      </c>
      <c r="F17" s="90">
        <f>F3*1.05</f>
        <v>0.9019013113464498</v>
      </c>
      <c r="G17" s="90">
        <f>G3*1.05</f>
        <v>0.90225248035581262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0.89100948949150105</v>
      </c>
      <c r="E19" s="90">
        <f>E5*1.05</f>
        <v>0.9005902356501081</v>
      </c>
      <c r="F19" s="90">
        <f>F5*1.05</f>
        <v>0.90079933546711266</v>
      </c>
      <c r="G19" s="90">
        <f>G5*1.05</f>
        <v>0.90143243445496368</v>
      </c>
    </row>
  </sheetData>
  <sheetProtection algorithmName="SHA-512" hashValue="N4yhnF5WpUkVfX0PVX4M5MH2zKppmxBZIYtqRsPl1GQYuhq8MI9HPzgQL0Cyz5DsDmw4qxR9lyPS/s5HR3stdg==" saltValue="XegaMI+8CykhBtluTurhw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TKyHBlZMT67jZM8i+08st87VTBbF26c5xzoh10/+mziI8lIGT55xDrgol3id9DEKM/6YPdzImGVzw+Y8ftUemg==" saltValue="RxeKU4SIt8jv9feOQybQ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k5sfyLOS75G6/lvOUrHJo2Ok9a+Flp9qJIc/zdmSmEiKnKgQlV4sgo2Y2Wg4OjBFfhK0GZbZ9xWPnRlXbomZrw==" saltValue="9tsGPGIBHLRiieQuVaOVL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1.7674916162052361E-3</v>
      </c>
    </row>
    <row r="4" spans="1:8" ht="15.75" customHeight="1" x14ac:dyDescent="0.25">
      <c r="B4" s="19" t="s">
        <v>79</v>
      </c>
      <c r="C4" s="101">
        <v>0.113740677967266</v>
      </c>
    </row>
    <row r="5" spans="1:8" ht="15.75" customHeight="1" x14ac:dyDescent="0.25">
      <c r="B5" s="19" t="s">
        <v>80</v>
      </c>
      <c r="C5" s="101">
        <v>5.1637448915844868E-2</v>
      </c>
    </row>
    <row r="6" spans="1:8" ht="15.75" customHeight="1" x14ac:dyDescent="0.25">
      <c r="B6" s="19" t="s">
        <v>81</v>
      </c>
      <c r="C6" s="101">
        <v>0.216130520010517</v>
      </c>
    </row>
    <row r="7" spans="1:8" ht="15.75" customHeight="1" x14ac:dyDescent="0.25">
      <c r="B7" s="19" t="s">
        <v>82</v>
      </c>
      <c r="C7" s="101">
        <v>0.3026405963382805</v>
      </c>
    </row>
    <row r="8" spans="1:8" ht="15.75" customHeight="1" x14ac:dyDescent="0.25">
      <c r="B8" s="19" t="s">
        <v>83</v>
      </c>
      <c r="C8" s="101">
        <v>1.993589743588038E-3</v>
      </c>
    </row>
    <row r="9" spans="1:8" ht="15.75" customHeight="1" x14ac:dyDescent="0.25">
      <c r="B9" s="19" t="s">
        <v>84</v>
      </c>
      <c r="C9" s="101">
        <v>0.2357137679590697</v>
      </c>
    </row>
    <row r="10" spans="1:8" ht="15.75" customHeight="1" x14ac:dyDescent="0.25">
      <c r="B10" s="19" t="s">
        <v>85</v>
      </c>
      <c r="C10" s="101">
        <v>7.6375907449228647E-2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0.11212262671114</v>
      </c>
      <c r="D14" s="55">
        <v>0.11212262671114</v>
      </c>
      <c r="E14" s="55">
        <v>0.11212262671114</v>
      </c>
      <c r="F14" s="55">
        <v>0.11212262671114</v>
      </c>
    </row>
    <row r="15" spans="1:8" ht="15.75" customHeight="1" x14ac:dyDescent="0.25">
      <c r="B15" s="19" t="s">
        <v>88</v>
      </c>
      <c r="C15" s="101">
        <v>0.18677636600573061</v>
      </c>
      <c r="D15" s="101">
        <v>0.18677636600573061</v>
      </c>
      <c r="E15" s="101">
        <v>0.18677636600573061</v>
      </c>
      <c r="F15" s="101">
        <v>0.18677636600573061</v>
      </c>
    </row>
    <row r="16" spans="1:8" ht="15.75" customHeight="1" x14ac:dyDescent="0.25">
      <c r="B16" s="19" t="s">
        <v>89</v>
      </c>
      <c r="C16" s="101">
        <v>9.224776815687322E-3</v>
      </c>
      <c r="D16" s="101">
        <v>9.224776815687322E-3</v>
      </c>
      <c r="E16" s="101">
        <v>9.224776815687322E-3</v>
      </c>
      <c r="F16" s="101">
        <v>9.224776815687322E-3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2.0160109736945458E-2</v>
      </c>
      <c r="D19" s="101">
        <v>2.0160109736945458E-2</v>
      </c>
      <c r="E19" s="101">
        <v>2.0160109736945458E-2</v>
      </c>
      <c r="F19" s="101">
        <v>2.0160109736945458E-2</v>
      </c>
    </row>
    <row r="20" spans="1:8" ht="15.75" customHeight="1" x14ac:dyDescent="0.25">
      <c r="B20" s="19" t="s">
        <v>93</v>
      </c>
      <c r="C20" s="101">
        <v>2.1795042956127029E-2</v>
      </c>
      <c r="D20" s="101">
        <v>2.1795042956127029E-2</v>
      </c>
      <c r="E20" s="101">
        <v>2.1795042956127029E-2</v>
      </c>
      <c r="F20" s="101">
        <v>2.1795042956127029E-2</v>
      </c>
    </row>
    <row r="21" spans="1:8" ht="15.75" customHeight="1" x14ac:dyDescent="0.25">
      <c r="B21" s="19" t="s">
        <v>94</v>
      </c>
      <c r="C21" s="101">
        <v>0.16556264599334461</v>
      </c>
      <c r="D21" s="101">
        <v>0.16556264599334461</v>
      </c>
      <c r="E21" s="101">
        <v>0.16556264599334461</v>
      </c>
      <c r="F21" s="101">
        <v>0.16556264599334461</v>
      </c>
    </row>
    <row r="22" spans="1:8" ht="15.75" customHeight="1" x14ac:dyDescent="0.25">
      <c r="B22" s="19" t="s">
        <v>95</v>
      </c>
      <c r="C22" s="101">
        <v>0.48435843178102522</v>
      </c>
      <c r="D22" s="101">
        <v>0.48435843178102522</v>
      </c>
      <c r="E22" s="101">
        <v>0.48435843178102522</v>
      </c>
      <c r="F22" s="101">
        <v>0.48435843178102522</v>
      </c>
    </row>
    <row r="23" spans="1:8" ht="15.75" customHeight="1" x14ac:dyDescent="0.25">
      <c r="B23" s="27" t="s">
        <v>41</v>
      </c>
      <c r="C23" s="48">
        <f>SUM(C14:C22)</f>
        <v>1.0000000000000004</v>
      </c>
      <c r="D23" s="48">
        <f>SUM(D14:D22)</f>
        <v>1.0000000000000004</v>
      </c>
      <c r="E23" s="48">
        <f>SUM(E14:E22)</f>
        <v>1.0000000000000004</v>
      </c>
      <c r="F23" s="48">
        <f>SUM(F14:F22)</f>
        <v>1.0000000000000004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1.8716897E-2</v>
      </c>
    </row>
    <row r="27" spans="1:8" ht="15.75" customHeight="1" x14ac:dyDescent="0.25">
      <c r="B27" s="19" t="s">
        <v>102</v>
      </c>
      <c r="C27" s="101">
        <v>2.6342269999999998E-3</v>
      </c>
    </row>
    <row r="28" spans="1:8" ht="15.75" customHeight="1" x14ac:dyDescent="0.25">
      <c r="B28" s="19" t="s">
        <v>103</v>
      </c>
      <c r="C28" s="101">
        <v>0.29297385599999998</v>
      </c>
    </row>
    <row r="29" spans="1:8" ht="15.75" customHeight="1" x14ac:dyDescent="0.25">
      <c r="B29" s="19" t="s">
        <v>104</v>
      </c>
      <c r="C29" s="101">
        <v>7.1156342999999997E-2</v>
      </c>
    </row>
    <row r="30" spans="1:8" ht="15.75" customHeight="1" x14ac:dyDescent="0.25">
      <c r="B30" s="19" t="s">
        <v>2</v>
      </c>
      <c r="C30" s="101">
        <v>0.18743774999999999</v>
      </c>
    </row>
    <row r="31" spans="1:8" ht="15.75" customHeight="1" x14ac:dyDescent="0.25">
      <c r="B31" s="19" t="s">
        <v>105</v>
      </c>
      <c r="C31" s="101">
        <v>5.5795655999999999E-2</v>
      </c>
    </row>
    <row r="32" spans="1:8" ht="15.75" customHeight="1" x14ac:dyDescent="0.25">
      <c r="B32" s="19" t="s">
        <v>106</v>
      </c>
      <c r="C32" s="101">
        <v>3.8825242000000003E-2</v>
      </c>
    </row>
    <row r="33" spans="2:3" ht="15.75" customHeight="1" x14ac:dyDescent="0.25">
      <c r="B33" s="19" t="s">
        <v>107</v>
      </c>
      <c r="C33" s="101">
        <v>1.5145660999999999E-2</v>
      </c>
    </row>
    <row r="34" spans="2:3" ht="15.75" customHeight="1" x14ac:dyDescent="0.25">
      <c r="B34" s="19" t="s">
        <v>108</v>
      </c>
      <c r="C34" s="101">
        <v>0.31731436899999999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5EccULauHBSKvip9Kb6hbN70FOc33Ps7DMfvDJG2Tv2xqkRXSLjfehnVBFThuIj7XbvZcga6pGyMXGRZqCLMbw==" saltValue="UH9ooDOUQyu9ip/2njzgf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0.74204106995474561</v>
      </c>
      <c r="D2" s="52">
        <f>IFERROR(1-_xlfn.NORM.DIST(_xlfn.NORM.INV(SUM(D4:D5), 0, 1) + 1, 0, 1, TRUE), "")</f>
        <v>0.74204106995474561</v>
      </c>
      <c r="E2" s="52">
        <f>IFERROR(1-_xlfn.NORM.DIST(_xlfn.NORM.INV(SUM(E4:E5), 0, 1) + 1, 0, 1, TRUE), "")</f>
        <v>0.7161228220981839</v>
      </c>
      <c r="F2" s="52">
        <f>IFERROR(1-_xlfn.NORM.DIST(_xlfn.NORM.INV(SUM(F4:F5), 0, 1) + 1, 0, 1, TRUE), "")</f>
        <v>0.63590887022530385</v>
      </c>
      <c r="G2" s="52">
        <f>IFERROR(1-_xlfn.NORM.DIST(_xlfn.NORM.INV(SUM(G4:G5), 0, 1) + 1, 0, 1, TRUE), "")</f>
        <v>0.64403128869994553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0.20845173305261869</v>
      </c>
      <c r="D3" s="52">
        <f>IFERROR(_xlfn.NORM.DIST(_xlfn.NORM.INV(SUM(D4:D5), 0, 1) + 1, 0, 1, TRUE) - SUM(D4:D5), "")</f>
        <v>0.20845173305261869</v>
      </c>
      <c r="E3" s="52">
        <f>IFERROR(_xlfn.NORM.DIST(_xlfn.NORM.INV(SUM(E4:E5), 0, 1) + 1, 0, 1, TRUE) - SUM(E4:E5), "")</f>
        <v>0.22582787162835566</v>
      </c>
      <c r="F3" s="52">
        <f>IFERROR(_xlfn.NORM.DIST(_xlfn.NORM.INV(SUM(F4:F5), 0, 1) + 1, 0, 1, TRUE) - SUM(F4:F5), "")</f>
        <v>0.27518867122615026</v>
      </c>
      <c r="G3" s="52">
        <f>IFERROR(_xlfn.NORM.DIST(_xlfn.NORM.INV(SUM(G4:G5), 0, 1) + 1, 0, 1, TRUE) - SUM(G4:G5), "")</f>
        <v>0.27050897233025156</v>
      </c>
    </row>
    <row r="4" spans="1:15" ht="15.75" customHeight="1" x14ac:dyDescent="0.25">
      <c r="B4" s="5" t="s">
        <v>114</v>
      </c>
      <c r="C4" s="45">
        <v>3.0190013349056199E-2</v>
      </c>
      <c r="D4" s="53">
        <v>3.0190013349056199E-2</v>
      </c>
      <c r="E4" s="53">
        <v>4.1978396475315101E-2</v>
      </c>
      <c r="F4" s="53">
        <v>4.7891374677419697E-2</v>
      </c>
      <c r="G4" s="53">
        <v>6.4321674406528501E-2</v>
      </c>
    </row>
    <row r="5" spans="1:15" ht="15.75" customHeight="1" x14ac:dyDescent="0.25">
      <c r="B5" s="5" t="s">
        <v>115</v>
      </c>
      <c r="C5" s="45">
        <v>1.93171836435795E-2</v>
      </c>
      <c r="D5" s="53">
        <v>1.93171836435795E-2</v>
      </c>
      <c r="E5" s="53">
        <v>1.6070909798145301E-2</v>
      </c>
      <c r="F5" s="53">
        <v>4.1011083871126203E-2</v>
      </c>
      <c r="G5" s="53">
        <v>2.1138064563274401E-2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0.53828633689990979</v>
      </c>
      <c r="D8" s="52">
        <f>IFERROR(1-_xlfn.NORM.DIST(_xlfn.NORM.INV(SUM(D10:D11), 0, 1) + 1, 0, 1, TRUE), "")</f>
        <v>0.53828633689990979</v>
      </c>
      <c r="E8" s="52">
        <f>IFERROR(1-_xlfn.NORM.DIST(_xlfn.NORM.INV(SUM(E10:E11), 0, 1) + 1, 0, 1, TRUE), "")</f>
        <v>0.8176327647509436</v>
      </c>
      <c r="F8" s="52">
        <f>IFERROR(1-_xlfn.NORM.DIST(_xlfn.NORM.INV(SUM(F10:F11), 0, 1) + 1, 0, 1, TRUE), "")</f>
        <v>0.82813916902818063</v>
      </c>
      <c r="G8" s="52">
        <f>IFERROR(1-_xlfn.NORM.DIST(_xlfn.NORM.INV(SUM(G10:G11), 0, 1) + 1, 0, 1, TRUE), "")</f>
        <v>0.86291465579214166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0.32519996425398856</v>
      </c>
      <c r="D9" s="52">
        <f>IFERROR(_xlfn.NORM.DIST(_xlfn.NORM.INV(SUM(D10:D11), 0, 1) + 1, 0, 1, TRUE) - SUM(D10:D11), "")</f>
        <v>0.32519996425398856</v>
      </c>
      <c r="E9" s="52">
        <f>IFERROR(_xlfn.NORM.DIST(_xlfn.NORM.INV(SUM(E10:E11), 0, 1) + 1, 0, 1, TRUE) - SUM(E10:E11), "")</f>
        <v>0.15406680927999208</v>
      </c>
      <c r="F9" s="52">
        <f>IFERROR(_xlfn.NORM.DIST(_xlfn.NORM.INV(SUM(F10:F11), 0, 1) + 1, 0, 1, TRUE) - SUM(F10:F11), "")</f>
        <v>0.14608371269128939</v>
      </c>
      <c r="G9" s="52">
        <f>IFERROR(_xlfn.NORM.DIST(_xlfn.NORM.INV(SUM(G10:G11), 0, 1) + 1, 0, 1, TRUE) - SUM(G10:G11), "")</f>
        <v>0.11893344207984734</v>
      </c>
    </row>
    <row r="10" spans="1:15" ht="15.75" customHeight="1" x14ac:dyDescent="0.25">
      <c r="B10" s="5" t="s">
        <v>119</v>
      </c>
      <c r="C10" s="45">
        <v>8.7693624198436695E-2</v>
      </c>
      <c r="D10" s="53">
        <v>8.7693624198436695E-2</v>
      </c>
      <c r="E10" s="53">
        <v>1.8754139542579699E-2</v>
      </c>
      <c r="F10" s="53">
        <v>1.7150809988379499E-2</v>
      </c>
      <c r="G10" s="53">
        <v>1.22688328847289E-2</v>
      </c>
    </row>
    <row r="11" spans="1:15" ht="15.75" customHeight="1" x14ac:dyDescent="0.25">
      <c r="B11" s="5" t="s">
        <v>120</v>
      </c>
      <c r="C11" s="45">
        <v>4.8820074647665003E-2</v>
      </c>
      <c r="D11" s="53">
        <v>4.8820074647665003E-2</v>
      </c>
      <c r="E11" s="53">
        <v>9.5462864264846004E-3</v>
      </c>
      <c r="F11" s="53">
        <v>8.6263082921504992E-3</v>
      </c>
      <c r="G11" s="53">
        <v>5.8830692432820996E-3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0.43544833799999999</v>
      </c>
      <c r="D14" s="54">
        <v>0.414763389195</v>
      </c>
      <c r="E14" s="54">
        <v>0.414763389195</v>
      </c>
      <c r="F14" s="54">
        <v>0.239306340073</v>
      </c>
      <c r="G14" s="54">
        <v>0.239306340073</v>
      </c>
      <c r="H14" s="45">
        <v>0.30399999999999999</v>
      </c>
      <c r="I14" s="55">
        <v>0.30399999999999999</v>
      </c>
      <c r="J14" s="55">
        <v>0.30399999999999999</v>
      </c>
      <c r="K14" s="55">
        <v>0.30399999999999999</v>
      </c>
      <c r="L14" s="45">
        <v>0.307</v>
      </c>
      <c r="M14" s="55">
        <v>0.307</v>
      </c>
      <c r="N14" s="55">
        <v>0.307</v>
      </c>
      <c r="O14" s="55">
        <v>0.307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0.26805285245770205</v>
      </c>
      <c r="D15" s="52">
        <f t="shared" si="0"/>
        <v>0.25531963235726896</v>
      </c>
      <c r="E15" s="52">
        <f t="shared" si="0"/>
        <v>0.25531963235726896</v>
      </c>
      <c r="F15" s="52">
        <f t="shared" si="0"/>
        <v>0.14731195751579729</v>
      </c>
      <c r="G15" s="52">
        <f t="shared" si="0"/>
        <v>0.14731195751579729</v>
      </c>
      <c r="H15" s="52">
        <f t="shared" si="0"/>
        <v>0.18713601600000002</v>
      </c>
      <c r="I15" s="52">
        <f t="shared" si="0"/>
        <v>0.18713601600000002</v>
      </c>
      <c r="J15" s="52">
        <f t="shared" si="0"/>
        <v>0.18713601600000002</v>
      </c>
      <c r="K15" s="52">
        <f t="shared" si="0"/>
        <v>0.18713601600000002</v>
      </c>
      <c r="L15" s="52">
        <f t="shared" si="0"/>
        <v>0.18898275300000003</v>
      </c>
      <c r="M15" s="52">
        <f t="shared" si="0"/>
        <v>0.18898275300000003</v>
      </c>
      <c r="N15" s="52">
        <f t="shared" si="0"/>
        <v>0.18898275300000003</v>
      </c>
      <c r="O15" s="52">
        <f t="shared" si="0"/>
        <v>0.18898275300000003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EENUQ6Oekpwbs8RQN0n0Gebmw61zOdE4ZcCaxdClta9BJwfZxokXWERV3fTUuEGfNOQkgZMPKAf0HKBUkJ27A==" saltValue="eAkrOsJace/K5znM5tSj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0.69556260108947798</v>
      </c>
      <c r="D2" s="53">
        <v>0.35208210000000001</v>
      </c>
      <c r="E2" s="53"/>
      <c r="F2" s="53"/>
      <c r="G2" s="53"/>
    </row>
    <row r="3" spans="1:7" x14ac:dyDescent="0.25">
      <c r="B3" s="3" t="s">
        <v>130</v>
      </c>
      <c r="C3" s="53">
        <v>0.24088123440742501</v>
      </c>
      <c r="D3" s="53">
        <v>0.36556179999999999</v>
      </c>
      <c r="E3" s="53"/>
      <c r="F3" s="53"/>
      <c r="G3" s="53"/>
    </row>
    <row r="4" spans="1:7" x14ac:dyDescent="0.25">
      <c r="B4" s="3" t="s">
        <v>131</v>
      </c>
      <c r="C4" s="53">
        <v>2.9348679999999999E-2</v>
      </c>
      <c r="D4" s="53">
        <v>0.1994631</v>
      </c>
      <c r="E4" s="53">
        <v>0.81741821765899703</v>
      </c>
      <c r="F4" s="53">
        <v>0.40598389506339999</v>
      </c>
      <c r="G4" s="53"/>
    </row>
    <row r="5" spans="1:7" x14ac:dyDescent="0.25">
      <c r="B5" s="3" t="s">
        <v>132</v>
      </c>
      <c r="C5" s="52">
        <v>3.2593633979558903E-2</v>
      </c>
      <c r="D5" s="52">
        <v>8.7540797889232594E-2</v>
      </c>
      <c r="E5" s="52">
        <f>1-SUM(E2:E4)</f>
        <v>0.18258178234100297</v>
      </c>
      <c r="F5" s="52">
        <f>1-SUM(F2:F4)</f>
        <v>0.59401610493659995</v>
      </c>
      <c r="G5" s="52">
        <f>1-SUM(G2:G4)</f>
        <v>1</v>
      </c>
    </row>
  </sheetData>
  <sheetProtection algorithmName="SHA-512" hashValue="gwUMMSPyyW7q+vR0Es0WVhFsDVAjYVqabrpoOhOAqzBSo6w0UkcKwLvFSVWSWdu2T/tj4s4kvt60vs/0Tn8Utg==" saltValue="ZVo99QE1M/Dqk3WBNi+AJ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cYTmQlJWiInZ7mifMkFk4rMHVPLZWbUSYwDeSeV56Ezp+DSQ9XCqL+dlvbU3oByIKTlVH9y+ww+cqLSWRwoZQ==" saltValue="KII196yH2KbI2I7lgVrFX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5mE3H+lupX3ul/ZiiThq/giJHn34iIbOMaCHIcH7kqo9YdPVMK7twXm1q4mnlK/qU3rR5B8TsKli+ZHMBoAVTw==" saltValue="29PKb7QuD7HRDZfX93uB2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N3/MRqCQ3v6zLllQrvDKJlr7Clc5m5ksSOJKewsAc82LEFt0Aa7p+4RfjP/BCghua+jDA57cWLLcwckQz+FudA==" saltValue="KNASCVit0PSYe19e/UJe1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15xZNlSEHEUSIM4Pf1OoNMchbiVOd2z8swLXSJD5sU9ueDn57zKYgSKCgdpnYDHQatViH3wz3VQUNiIB+dtrew==" saltValue="S5NI3c9pXZ0qa+ycvnDga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2024-03-15T03:01:35Z</dcterms:modified>
</cp:coreProperties>
</file>