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1E3DC771-FA82-40A2-A84B-A4818FDD872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D12" i="26"/>
  <c r="C12" i="26"/>
  <c r="C10" i="26"/>
  <c r="G5" i="26"/>
  <c r="G19" i="26" s="1"/>
  <c r="F5" i="26"/>
  <c r="F12" i="26" s="1"/>
  <c r="E5" i="26"/>
  <c r="E12" i="26" s="1"/>
  <c r="D5" i="26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1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21" i="2" l="1"/>
  <c r="A39" i="2"/>
  <c r="F19" i="26"/>
  <c r="A29" i="2"/>
  <c r="E10" i="26"/>
  <c r="A26" i="2"/>
  <c r="A31" i="2"/>
  <c r="A23" i="2"/>
  <c r="A13" i="2"/>
  <c r="A34" i="2"/>
  <c r="A15" i="2"/>
  <c r="A37" i="2"/>
  <c r="A14" i="2"/>
  <c r="A22" i="2"/>
  <c r="A30" i="2"/>
  <c r="A38" i="2"/>
  <c r="A40" i="2"/>
  <c r="D10" i="26"/>
  <c r="G12" i="26"/>
  <c r="E19" i="26"/>
  <c r="A16" i="2"/>
  <c r="A32" i="2"/>
  <c r="F10" i="26"/>
  <c r="A3" i="2"/>
  <c r="A4" i="2" s="1"/>
  <c r="A5" i="2" s="1"/>
  <c r="A6" i="2" s="1"/>
  <c r="A7" i="2" s="1"/>
  <c r="A8" i="2" s="1"/>
  <c r="A9" i="2" s="1"/>
  <c r="A10" i="2" s="1"/>
  <c r="A11" i="2" s="1"/>
  <c r="A24" i="2"/>
  <c r="A17" i="2"/>
  <c r="A25" i="2"/>
  <c r="A33" i="2"/>
  <c r="G10" i="26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<sst xmlns="http://schemas.openxmlformats.org/spreadsheetml/2006/main" count="2092" uniqueCount="337">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</sst>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281938.51171875</v>
      </c>
    </row>
    <row r="8" spans="1:3" ht="15" customHeight="1" x14ac:dyDescent="0.25">
      <c r="B8" s="5" t="s">
        <v>19</v>
      </c>
      <c r="C8" s="44">
        <v>0.26900000000000002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0.447736206054688</v>
      </c>
    </row>
    <row r="11" spans="1:3" ht="15" customHeight="1" x14ac:dyDescent="0.25">
      <c r="B11" s="5" t="s">
        <v>22</v>
      </c>
      <c r="C11" s="45">
        <v>0.74400000000000011</v>
      </c>
    </row>
    <row r="12" spans="1:3" ht="15" customHeight="1" x14ac:dyDescent="0.25">
      <c r="B12" s="5" t="s">
        <v>23</v>
      </c>
      <c r="C12" s="45">
        <v>0.63100000000000001</v>
      </c>
    </row>
    <row r="13" spans="1:3" ht="15" customHeight="1" x14ac:dyDescent="0.25">
      <c r="B13" s="5" t="s">
        <v>24</v>
      </c>
      <c r="C13" s="45">
        <v>0.23899999999999999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0.1454</v>
      </c>
    </row>
    <row r="24" spans="1:3" ht="15" customHeight="1" x14ac:dyDescent="0.25">
      <c r="B24" s="15" t="s">
        <v>33</v>
      </c>
      <c r="C24" s="45">
        <v>0.49180000000000001</v>
      </c>
    </row>
    <row r="25" spans="1:3" ht="15" customHeight="1" x14ac:dyDescent="0.25">
      <c r="B25" s="15" t="s">
        <v>34</v>
      </c>
      <c r="C25" s="45">
        <v>0.28089999999999998</v>
      </c>
    </row>
    <row r="26" spans="1:3" ht="15" customHeight="1" x14ac:dyDescent="0.25">
      <c r="B26" s="15" t="s">
        <v>35</v>
      </c>
      <c r="C26" s="45">
        <v>8.1900000000000001E-2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0.39118691211173601</v>
      </c>
    </row>
    <row r="30" spans="1:3" ht="14.25" customHeight="1" x14ac:dyDescent="0.25">
      <c r="B30" s="25" t="s">
        <v>38</v>
      </c>
      <c r="C30" s="99">
        <v>2.2725338500681799E-2</v>
      </c>
    </row>
    <row r="31" spans="1:3" ht="14.25" customHeight="1" x14ac:dyDescent="0.25">
      <c r="B31" s="25" t="s">
        <v>39</v>
      </c>
      <c r="C31" s="99">
        <v>4.1775369771253297E-2</v>
      </c>
    </row>
    <row r="32" spans="1:3" ht="14.25" customHeight="1" x14ac:dyDescent="0.25">
      <c r="B32" s="25" t="s">
        <v>40</v>
      </c>
      <c r="C32" s="99">
        <v>0.54431237961632906</v>
      </c>
    </row>
    <row r="33" spans="1:5" ht="13" customHeight="1" x14ac:dyDescent="0.25">
      <c r="B33" s="27" t="s">
        <v>41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42.806919538739599</v>
      </c>
    </row>
    <row r="38" spans="1:5" ht="15" customHeight="1" x14ac:dyDescent="0.25">
      <c r="B38" s="11" t="s">
        <v>45</v>
      </c>
      <c r="C38" s="43">
        <v>68.076962444868101</v>
      </c>
      <c r="D38" s="12"/>
      <c r="E38" s="13"/>
    </row>
    <row r="39" spans="1:5" ht="15" customHeight="1" x14ac:dyDescent="0.25">
      <c r="B39" s="11" t="s">
        <v>46</v>
      </c>
      <c r="C39" s="43">
        <v>86.403493498622794</v>
      </c>
      <c r="D39" s="12"/>
      <c r="E39" s="12"/>
    </row>
    <row r="40" spans="1:5" ht="15" customHeight="1" x14ac:dyDescent="0.25">
      <c r="B40" s="11" t="s">
        <v>47</v>
      </c>
      <c r="C40" s="100">
        <v>5.44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27.900858410000001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2.8654000000000002E-3</v>
      </c>
      <c r="D45" s="12"/>
    </row>
    <row r="46" spans="1:5" ht="15.75" customHeight="1" x14ac:dyDescent="0.25">
      <c r="B46" s="11" t="s">
        <v>52</v>
      </c>
      <c r="C46" s="45">
        <v>8.5686999999999999E-2</v>
      </c>
      <c r="D46" s="12"/>
    </row>
    <row r="47" spans="1:5" ht="15.75" customHeight="1" x14ac:dyDescent="0.25">
      <c r="B47" s="11" t="s">
        <v>53</v>
      </c>
      <c r="C47" s="45">
        <v>0.14243330000000001</v>
      </c>
      <c r="D47" s="12"/>
      <c r="E47" s="13"/>
    </row>
    <row r="48" spans="1:5" ht="15" customHeight="1" x14ac:dyDescent="0.25">
      <c r="B48" s="11" t="s">
        <v>54</v>
      </c>
      <c r="C48" s="46">
        <v>0.76901430000000004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0.54738100000000001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0.14607059</v>
      </c>
    </row>
    <row r="63" spans="1:4" ht="15.75" customHeight="1" x14ac:dyDescent="0.3">
      <c r="A63" s="4"/>
    </row>
  </sheetData>
  <sheetProtection algorithmName="SHA-512" hashValue="uc4Yw3yNkI19Om1w5dCWDC3KkZnKGuFlUMQtZCgS4QNSDiieu9bNotMbOS9rISyisxExxHejfeIIHvSAtmaNfg==" saltValue="0R5WiFHfNCH1Jmm7V+YJ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0.411837643505782</v>
      </c>
      <c r="C2" s="98">
        <v>0.95</v>
      </c>
      <c r="D2" s="56">
        <v>38.228563212348718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39.436317937111831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103.97040719198429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0.32878945946683652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12.568617380907741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12.568617380907741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12.568617380907741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12.568617380907741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12.568617380907741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12.568617380907741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0.52181391912559194</v>
      </c>
      <c r="C16" s="98">
        <v>0.95</v>
      </c>
      <c r="D16" s="56">
        <v>0.27538318080309132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2.4903242449752758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2.4903242449752758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0.52886623380000009</v>
      </c>
      <c r="C21" s="98">
        <v>0.95</v>
      </c>
      <c r="D21" s="56">
        <v>3.0954058413748049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21.456851937503181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2.7888414299999998E-3</v>
      </c>
      <c r="C23" s="98">
        <v>0.95</v>
      </c>
      <c r="D23" s="56">
        <v>4.0021113729210773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0.80422196516024702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0.43489520067249399</v>
      </c>
      <c r="C27" s="98">
        <v>0.95</v>
      </c>
      <c r="D27" s="56">
        <v>18.113923100883021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0.39736890000000002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68.455567700421739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6.1500000000000013E-2</v>
      </c>
      <c r="C31" s="98">
        <v>0.95</v>
      </c>
      <c r="D31" s="56">
        <v>0.4685375268623197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0.54791509999999999</v>
      </c>
      <c r="C32" s="98">
        <v>0.95</v>
      </c>
      <c r="D32" s="56">
        <v>0.54566520211153513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0.42754320187174299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0.18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0.17358129999999999</v>
      </c>
      <c r="C38" s="98">
        <v>0.95</v>
      </c>
      <c r="D38" s="56">
        <v>3.150883261827913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0.1669523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HJJ/p+jfwUmxp95cP1q3oDe5E21evi9+fyuwENROiXBAg4Bv045OqxvTRjiQHwfm/aEjZJ5c26c5G0aYUU0f8Q==" saltValue="KArNJ1AS2T70kbIiK4Pc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RxuYQ0Gz9tu125hID2MGO6GdMDPUogeqtkhMQCziBXtYGNcPnjy8lOMJcpwYZqubDQXMYBBZt+4VpR7SVZX3Iw==" saltValue="MLd97Nu5hDRZZvdWfKvnD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MqB6++q3I2Q9TULuuHYKwoslLb3mVeroLNvQHVbD4ZVGx0V7JMePMdkef7pY7Ppkm9MhjYUGZeCV6XmKVf6LHA==" saltValue="1M67JUtPrAmCP+Ws0WiaK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4.9420490600000005E-2</v>
      </c>
      <c r="C3" s="21">
        <f>frac_mam_1_5months * 2.6</f>
        <v>4.9420490600000005E-2</v>
      </c>
      <c r="D3" s="21">
        <f>frac_mam_6_11months * 2.6</f>
        <v>6.9301133200000004E-2</v>
      </c>
      <c r="E3" s="21">
        <f>frac_mam_12_23months * 2.6</f>
        <v>3.2179625400000002E-2</v>
      </c>
      <c r="F3" s="21">
        <f>frac_mam_24_59months * 2.6</f>
        <v>2.68214414E-2</v>
      </c>
    </row>
    <row r="4" spans="1:6" ht="15.75" customHeight="1" x14ac:dyDescent="0.25">
      <c r="A4" s="3" t="s">
        <v>208</v>
      </c>
      <c r="B4" s="21">
        <f>frac_sam_1month * 2.6</f>
        <v>5.2568723999999997E-2</v>
      </c>
      <c r="C4" s="21">
        <f>frac_sam_1_5months * 2.6</f>
        <v>5.2568723999999997E-2</v>
      </c>
      <c r="D4" s="21">
        <f>frac_sam_6_11months * 2.6</f>
        <v>2.2472065199999999E-2</v>
      </c>
      <c r="E4" s="21">
        <f>frac_sam_12_23months * 2.6</f>
        <v>2.6649201800000001E-2</v>
      </c>
      <c r="F4" s="21">
        <f>frac_sam_24_59months * 2.6</f>
        <v>1.4525793100000002E-2</v>
      </c>
    </row>
  </sheetData>
  <sheetProtection algorithmName="SHA-512" hashValue="OiZReDfmBKydqy/tZkATgKIyWZHlb0x2Xb10S6A56RcmpFzZ/QcEEpoeTFXf8v33fAJiZTapPuuGa0Zx2R4wgA==" saltValue="hJGq4DzQlxq/RQM1WQFM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0.26900000000000002</v>
      </c>
      <c r="E2" s="60">
        <f>food_insecure</f>
        <v>0.26900000000000002</v>
      </c>
      <c r="F2" s="60">
        <f>food_insecure</f>
        <v>0.26900000000000002</v>
      </c>
      <c r="G2" s="60">
        <f>food_insecure</f>
        <v>0.26900000000000002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0.26900000000000002</v>
      </c>
      <c r="F5" s="60">
        <f>food_insecure</f>
        <v>0.26900000000000002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0.26900000000000002</v>
      </c>
      <c r="F8" s="60">
        <f>food_insecure</f>
        <v>0.26900000000000002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0.26900000000000002</v>
      </c>
      <c r="F9" s="60">
        <f>food_insecure</f>
        <v>0.26900000000000002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0.63100000000000001</v>
      </c>
      <c r="E10" s="60">
        <f>IF(ISBLANK(comm_deliv), frac_children_health_facility,1)</f>
        <v>0.63100000000000001</v>
      </c>
      <c r="F10" s="60">
        <f>IF(ISBLANK(comm_deliv), frac_children_health_facility,1)</f>
        <v>0.63100000000000001</v>
      </c>
      <c r="G10" s="60">
        <f>IF(ISBLANK(comm_deliv), frac_children_health_facility,1)</f>
        <v>0.63100000000000001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0.26900000000000002</v>
      </c>
      <c r="I15" s="60">
        <f>food_insecure</f>
        <v>0.26900000000000002</v>
      </c>
      <c r="J15" s="60">
        <f>food_insecure</f>
        <v>0.26900000000000002</v>
      </c>
      <c r="K15" s="60">
        <f>food_insecure</f>
        <v>0.26900000000000002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0.74400000000000011</v>
      </c>
      <c r="I18" s="60">
        <f>frac_PW_health_facility</f>
        <v>0.74400000000000011</v>
      </c>
      <c r="J18" s="60">
        <f>frac_PW_health_facility</f>
        <v>0.74400000000000011</v>
      </c>
      <c r="K18" s="60">
        <f>frac_PW_health_facility</f>
        <v>0.74400000000000011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0.23899999999999999</v>
      </c>
      <c r="M24" s="60">
        <f>famplan_unmet_need</f>
        <v>0.23899999999999999</v>
      </c>
      <c r="N24" s="60">
        <f>famplan_unmet_need</f>
        <v>0.23899999999999999</v>
      </c>
      <c r="O24" s="60">
        <f>famplan_unmet_need</f>
        <v>0.23899999999999999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0.30180664075317354</v>
      </c>
      <c r="M25" s="60">
        <f>(1-food_insecure)*(0.49)+food_insecure*(0.7)</f>
        <v>0.54649000000000003</v>
      </c>
      <c r="N25" s="60">
        <f>(1-food_insecure)*(0.49)+food_insecure*(0.7)</f>
        <v>0.54649000000000003</v>
      </c>
      <c r="O25" s="60">
        <f>(1-food_insecure)*(0.49)+food_insecure*(0.7)</f>
        <v>0.54649000000000003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0.12934570317993152</v>
      </c>
      <c r="M26" s="60">
        <f>(1-food_insecure)*(0.21)+food_insecure*(0.3)</f>
        <v>0.23420999999999997</v>
      </c>
      <c r="N26" s="60">
        <f>(1-food_insecure)*(0.21)+food_insecure*(0.3)</f>
        <v>0.23420999999999997</v>
      </c>
      <c r="O26" s="60">
        <f>(1-food_insecure)*(0.21)+food_insecure*(0.3)</f>
        <v>0.23420999999999997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0.12111145001220691</v>
      </c>
      <c r="M27" s="60">
        <f>(1-food_insecure)*(0.3)</f>
        <v>0.21929999999999999</v>
      </c>
      <c r="N27" s="60">
        <f>(1-food_insecure)*(0.3)</f>
        <v>0.21929999999999999</v>
      </c>
      <c r="O27" s="60">
        <f>(1-food_insecure)*(0.3)</f>
        <v>0.21929999999999999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0.447736206054688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YJVOvio8+ZNSYUURXcYtve9htE0sKdJNILeRjFX7DI3HQ7tNr6tQZPi0BgPK9HUWvIgTbSe1HqdeDPtageJvqw==" saltValue="2pdF0+6lzbGSzenCUQ4++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S8jZZ5LhqZkqXEffoX2Wp1srtMWqGtYBVR2iue2l++CPOS9vQBPiHuEVIWpES5otIONNKh28g3s59GcJ69knYQ==" saltValue="3e3kJKeYbYKzeUxL0If/T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1YlKJdv3ip+TMsfFxj12epQtJmQTusqCYFTM2PvBqaNo+uw4zeTw9pNJYlzDT+PZBUAnrtCCG0yUusURoemHw==" saltValue="RhxscmhmtMw/PkY+5bPG8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DE1KGialLWRln1V7FzRqzG24ItKmZsei96TTriZ/b1aeQhm/4F5oyXZMFs9+M+sixDILhBD6+slBnZ9Y0NbLQ==" saltValue="qI5C9fYx5DolLEbd1HZQd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be7ZAlw/4Z6tclG7I/pOFo/BOD6tvxq1n7IPCVyXKAi8qX5JsYk/wxD6y7+sOOmoJxPw8cs4xGNQewSRMozwQ==" saltValue="xiVlnZ7068NHP5J4eTih5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xQs8Ka3OROqeTzfY+T68KZ5e1m6N2bnMRd+56x2kpel9hP4rjK4gKX1YlL8pekSnxJIlHP5PZ3eiJDrFLYz6Q==" saltValue="uWATUe9wFpjNMTfLn7dNt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61046.159999999989</v>
      </c>
      <c r="C2" s="49">
        <v>120000</v>
      </c>
      <c r="D2" s="49">
        <v>234000</v>
      </c>
      <c r="E2" s="49">
        <v>183000</v>
      </c>
      <c r="F2" s="49">
        <v>100000</v>
      </c>
      <c r="G2" s="17">
        <f t="shared" ref="G2:G11" si="0">C2+D2+E2+F2</f>
        <v>637000</v>
      </c>
      <c r="H2" s="17">
        <f t="shared" ref="H2:H11" si="1">(B2 + stillbirth*B2/(1000-stillbirth))/(1-abortion)</f>
        <v>71361.688736985481</v>
      </c>
      <c r="I2" s="17">
        <f t="shared" ref="I2:I11" si="2">G2-H2</f>
        <v>565638.31126301456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60822.64499999999</v>
      </c>
      <c r="C3" s="50">
        <v>120000</v>
      </c>
      <c r="D3" s="50">
        <v>234000</v>
      </c>
      <c r="E3" s="50">
        <v>186000</v>
      </c>
      <c r="F3" s="50">
        <v>104000</v>
      </c>
      <c r="G3" s="17">
        <f t="shared" si="0"/>
        <v>644000</v>
      </c>
      <c r="H3" s="17">
        <f t="shared" si="1"/>
        <v>71100.404360408022</v>
      </c>
      <c r="I3" s="17">
        <f t="shared" si="2"/>
        <v>572899.59563959204</v>
      </c>
    </row>
    <row r="4" spans="1:9" ht="15.75" customHeight="1" x14ac:dyDescent="0.25">
      <c r="A4" s="5">
        <f t="shared" si="3"/>
        <v>2023</v>
      </c>
      <c r="B4" s="49">
        <v>60550.214999999989</v>
      </c>
      <c r="C4" s="50">
        <v>120000</v>
      </c>
      <c r="D4" s="50">
        <v>234000</v>
      </c>
      <c r="E4" s="50">
        <v>190000</v>
      </c>
      <c r="F4" s="50">
        <v>111000</v>
      </c>
      <c r="G4" s="17">
        <f t="shared" si="0"/>
        <v>655000</v>
      </c>
      <c r="H4" s="17">
        <f t="shared" si="1"/>
        <v>70781.93936830014</v>
      </c>
      <c r="I4" s="17">
        <f t="shared" si="2"/>
        <v>584218.06063169986</v>
      </c>
    </row>
    <row r="5" spans="1:9" ht="15.75" customHeight="1" x14ac:dyDescent="0.25">
      <c r="A5" s="5">
        <f t="shared" si="3"/>
        <v>2024</v>
      </c>
      <c r="B5" s="49">
        <v>60279.55</v>
      </c>
      <c r="C5" s="50">
        <v>121000</v>
      </c>
      <c r="D5" s="50">
        <v>234000</v>
      </c>
      <c r="E5" s="50">
        <v>193000</v>
      </c>
      <c r="F5" s="50">
        <v>117000</v>
      </c>
      <c r="G5" s="17">
        <f t="shared" si="0"/>
        <v>665000</v>
      </c>
      <c r="H5" s="17">
        <f t="shared" si="1"/>
        <v>70465.537624406745</v>
      </c>
      <c r="I5" s="17">
        <f t="shared" si="2"/>
        <v>594534.46237559326</v>
      </c>
    </row>
    <row r="6" spans="1:9" ht="15.75" customHeight="1" x14ac:dyDescent="0.25">
      <c r="A6" s="5">
        <f t="shared" si="3"/>
        <v>2025</v>
      </c>
      <c r="B6" s="49">
        <v>59960.79</v>
      </c>
      <c r="C6" s="50">
        <v>122000</v>
      </c>
      <c r="D6" s="50">
        <v>234000</v>
      </c>
      <c r="E6" s="50">
        <v>196000</v>
      </c>
      <c r="F6" s="50">
        <v>123000</v>
      </c>
      <c r="G6" s="17">
        <f t="shared" si="0"/>
        <v>675000</v>
      </c>
      <c r="H6" s="17">
        <f t="shared" si="1"/>
        <v>70092.913827892728</v>
      </c>
      <c r="I6" s="17">
        <f t="shared" si="2"/>
        <v>604907.08617210726</v>
      </c>
    </row>
    <row r="7" spans="1:9" ht="15.75" customHeight="1" x14ac:dyDescent="0.25">
      <c r="A7" s="5">
        <f t="shared" si="3"/>
        <v>2026</v>
      </c>
      <c r="B7" s="49">
        <v>59839.581000000013</v>
      </c>
      <c r="C7" s="50">
        <v>124000</v>
      </c>
      <c r="D7" s="50">
        <v>234000</v>
      </c>
      <c r="E7" s="50">
        <v>199000</v>
      </c>
      <c r="F7" s="50">
        <v>129000</v>
      </c>
      <c r="G7" s="17">
        <f t="shared" si="0"/>
        <v>686000</v>
      </c>
      <c r="H7" s="17">
        <f t="shared" si="1"/>
        <v>69951.223033088929</v>
      </c>
      <c r="I7" s="17">
        <f t="shared" si="2"/>
        <v>616048.77696691104</v>
      </c>
    </row>
    <row r="8" spans="1:9" ht="15.75" customHeight="1" x14ac:dyDescent="0.25">
      <c r="A8" s="5">
        <f t="shared" si="3"/>
        <v>2027</v>
      </c>
      <c r="B8" s="49">
        <v>59675.509800000007</v>
      </c>
      <c r="C8" s="50">
        <v>127000</v>
      </c>
      <c r="D8" s="50">
        <v>233000</v>
      </c>
      <c r="E8" s="50">
        <v>202000</v>
      </c>
      <c r="F8" s="50">
        <v>135000</v>
      </c>
      <c r="G8" s="17">
        <f t="shared" si="0"/>
        <v>697000</v>
      </c>
      <c r="H8" s="17">
        <f t="shared" si="1"/>
        <v>69759.427219804289</v>
      </c>
      <c r="I8" s="17">
        <f t="shared" si="2"/>
        <v>627240.57278019574</v>
      </c>
    </row>
    <row r="9" spans="1:9" ht="15.75" customHeight="1" x14ac:dyDescent="0.25">
      <c r="A9" s="5">
        <f t="shared" si="3"/>
        <v>2028</v>
      </c>
      <c r="B9" s="49">
        <v>59492.891400000008</v>
      </c>
      <c r="C9" s="50">
        <v>130000</v>
      </c>
      <c r="D9" s="50">
        <v>232000</v>
      </c>
      <c r="E9" s="50">
        <v>204000</v>
      </c>
      <c r="F9" s="50">
        <v>140000</v>
      </c>
      <c r="G9" s="17">
        <f t="shared" si="0"/>
        <v>706000</v>
      </c>
      <c r="H9" s="17">
        <f t="shared" si="1"/>
        <v>69545.950116274005</v>
      </c>
      <c r="I9" s="17">
        <f t="shared" si="2"/>
        <v>636454.04988372605</v>
      </c>
    </row>
    <row r="10" spans="1:9" ht="15.75" customHeight="1" x14ac:dyDescent="0.25">
      <c r="A10" s="5">
        <f t="shared" si="3"/>
        <v>2029</v>
      </c>
      <c r="B10" s="49">
        <v>59314.716000000008</v>
      </c>
      <c r="C10" s="50">
        <v>133000</v>
      </c>
      <c r="D10" s="50">
        <v>232000</v>
      </c>
      <c r="E10" s="50">
        <v>208000</v>
      </c>
      <c r="F10" s="50">
        <v>146000</v>
      </c>
      <c r="G10" s="17">
        <f t="shared" si="0"/>
        <v>719000</v>
      </c>
      <c r="H10" s="17">
        <f t="shared" si="1"/>
        <v>69337.666787144233</v>
      </c>
      <c r="I10" s="17">
        <f t="shared" si="2"/>
        <v>649662.33321285574</v>
      </c>
    </row>
    <row r="11" spans="1:9" ht="15.75" customHeight="1" x14ac:dyDescent="0.25">
      <c r="A11" s="5">
        <f t="shared" si="3"/>
        <v>2030</v>
      </c>
      <c r="B11" s="49">
        <v>59094.671999999999</v>
      </c>
      <c r="C11" s="50">
        <v>135000</v>
      </c>
      <c r="D11" s="50">
        <v>233000</v>
      </c>
      <c r="E11" s="50">
        <v>209000</v>
      </c>
      <c r="F11" s="50">
        <v>151000</v>
      </c>
      <c r="G11" s="17">
        <f t="shared" si="0"/>
        <v>728000</v>
      </c>
      <c r="H11" s="17">
        <f t="shared" si="1"/>
        <v>69080.439937225397</v>
      </c>
      <c r="I11" s="17">
        <f t="shared" si="2"/>
        <v>658919.56006277457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diwLiO4savYIua9CmbDumTIU3UUlFVdVEJUgEEol3mZO70qLFJnI7fjKSjARSAyaIQqL39eJCxdxu0HMGB+VQ==" saltValue="wZFN476nnEmQc4+FmWEBs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4.1976045374008395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4.1976045374008395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2.2387053847629064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2.2387053847629064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3.1127029979255547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3.1127029979255547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1.8184303435040632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1.8184303435040632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5.3967062389261535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5.3967062389261535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2.7032199040489959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2.7032199040489959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jyTgZa7v9sozDHHjthwbULj4EItQ77dgTFnWc9mh+Q95toZjshMJNFsO26hNIUzD9/0YsekeZ5i2adRSoIVLPA==" saltValue="pYuP3AATHpssU17hk6bw0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gFeWIgdSrJy030dXKq4OYcljyGEHzcMCyaRZDpe0tsp0A4iRrS22+TIHVEvSJsU07yhUCwdP5U86pDM+yazSKg==" saltValue="2xtLzm13F9ZxpUGIubqb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bkJ+iTftvZEPZQf6vdOOaOIZ2APyeWz0gaYYkz/kYc4ytoMTW2r9qly+tPwyEZauR8KiKwNq2r0XNtmjo7jnrA==" saltValue="bf8HoJMVFnnoWQb0Fs1I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0.57660548152963431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0.57660548152963431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0.84888978630894218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0.84888978630894218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0.84888978630894218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0.84888978630894218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0.37573934589257002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0.37573934589257002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0.81276702207742291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0.81276702207742291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0.81276702207742291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0.81276702207742291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0.89805856211636526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0.89805856211636526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0.88565675943393996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0.88565675943393996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0.88565675943393996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0.88565675943393996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ynKZlsI9NaSIUpYrDD+jLexBhyJ7bSRB78jS5SAOkvEj6kZm/BjJTNrmMgI7xTU7d7dO9N0UPnPqlNREfYnvQ==" saltValue="q9Bf0IGkRykN8N8toRg3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wHUhgjoZZ0QeE1GrYaHwsb7VuXV3gSad5Wv8YlF3jIOpy2C3wSIOqDAhO5VMtKnkeEWyK6MZRlOWk/o5sxU+MQ==" saltValue="v7Xm/JkIo6oLyxFNw8nN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0.54620007244130742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0.55500020805442518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0.55500020805442518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0.63204373423044569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0.63204373423044569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0.63204373423044569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0.63204373423044569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0.65243296921549165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0.65243296921549165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0.65243296921549165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0.65243296921549165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0.65184560379128509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0.65987280053627806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0.65987280053627806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0.72766884531590403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0.72766884531590403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0.72766884531590403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0.72766884531590403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0.74489795918367352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0.74489795918367352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0.74489795918367352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0.74489795918367352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0.35462056464668085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0.36280175116593544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0.36280175116593544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0.43951652207817526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0.43951652207817526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0.43951652207817526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0.43951652207817526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0.46148442987590732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0.46148442987590732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0.46148442987590732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0.46148442987590732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0.52202702878358598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0.5308933283931746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0.5308933283931746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0.6091714434601353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0.6091714434601353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0.6091714434601353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0.6091714434601353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0.6300863131935881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0.6300863131935881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0.6300863131935881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0.6300863131935881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0.93802037740881106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0.94005617469204927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0.94005617469204927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0.95574960174641554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0.95574960174641554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0.95574960174641554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0.95574960174641554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0.95935510093483278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0.95935510093483278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0.95935510093483278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0.95935510093483278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0.84332969577139572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0.84797163884916726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0.84797163884916726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0.8848191660907625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0.8848191660907625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0.8848191660907625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0.8848191660907625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0.89356040447046314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0.89356040447046314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0.89356040447046314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0.89356040447046314</v>
      </c>
    </row>
  </sheetData>
  <sheetProtection algorithmName="SHA-512" hashValue="FQz6OVou4aQdbkHE8MKFJayAjhEHUMeOWydwgl0dVw1WIWCxWBrZRwp7W4xtrcD4UtVDJCFmFr+YbYIOEmXMJQ==" saltValue="RosDEDAstRpgYmtfkRny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0.85752258614349219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0.85895157752393614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0.85875496228404868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0.8593240965391028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0.85767341902570515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0.85671553571515013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0.85849380381106954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0.85874684330469742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0.77177032752914299</v>
      </c>
      <c r="E10" s="90">
        <f>E3*0.9</f>
        <v>0.77305641977154249</v>
      </c>
      <c r="F10" s="90">
        <f>F3*0.9</f>
        <v>0.77287946605564384</v>
      </c>
      <c r="G10" s="90">
        <f>G3*0.9</f>
        <v>0.77339168688519255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0.77190607712313464</v>
      </c>
      <c r="E12" s="90">
        <f>E5*0.9</f>
        <v>0.77104398214363512</v>
      </c>
      <c r="F12" s="90">
        <f>F5*0.9</f>
        <v>0.77264442342996265</v>
      </c>
      <c r="G12" s="90">
        <f>G5*0.9</f>
        <v>0.77287215897422767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0.90039871545066685</v>
      </c>
      <c r="E17" s="90">
        <f>E3*1.05</f>
        <v>0.90189915640013296</v>
      </c>
      <c r="F17" s="90">
        <f>F3*1.05</f>
        <v>0.90169271039825116</v>
      </c>
      <c r="G17" s="90">
        <f>G3*1.05</f>
        <v>0.90229030136605792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0.90055708997699047</v>
      </c>
      <c r="E19" s="90">
        <f>E5*1.05</f>
        <v>0.8995513125009077</v>
      </c>
      <c r="F19" s="90">
        <f>F5*1.05</f>
        <v>0.90141849400162311</v>
      </c>
      <c r="G19" s="90">
        <f>G5*1.05</f>
        <v>0.90168418546993234</v>
      </c>
    </row>
  </sheetData>
  <sheetProtection algorithmName="SHA-512" hashValue="uIqhL7ZYUAHwZGV3+M2v5ne1h7nDMcSD0sX5My0iPG/xR/0k14yCxXckjJgcOJ0GIQF03s/d13c7i40d12YmQg==" saltValue="OV8mQ/9irZpRpP3nuHa8y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pzyFoyVcM+JmjRIblb7+U+9SNYkvLh2hl8ayLTm7CzUff1qzVI9U7CmiBVzQPwMAqQuOslb3Qg5xfM8pI7RiAA==" saltValue="lg0pptUgYTMLxsMYHFiI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UL4zOAUh707f/7oE2gm2Nzs7fKNvGdskCd2QbHjMnWWrw8rg4aQ67ACfqh09z6yQjRQtX2cl3KXD+s961w9b8g==" saltValue="IYJWK6MLr8qW78LS1TrDD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7.1304720508941844E-3</v>
      </c>
    </row>
    <row r="4" spans="1:8" ht="15.75" customHeight="1" x14ac:dyDescent="0.25">
      <c r="B4" s="19" t="s">
        <v>79</v>
      </c>
      <c r="C4" s="101">
        <v>0.1433081410459135</v>
      </c>
    </row>
    <row r="5" spans="1:8" ht="15.75" customHeight="1" x14ac:dyDescent="0.25">
      <c r="B5" s="19" t="s">
        <v>80</v>
      </c>
      <c r="C5" s="101">
        <v>6.6436422080704285E-2</v>
      </c>
    </row>
    <row r="6" spans="1:8" ht="15.75" customHeight="1" x14ac:dyDescent="0.25">
      <c r="B6" s="19" t="s">
        <v>81</v>
      </c>
      <c r="C6" s="101">
        <v>0.27730277788717428</v>
      </c>
    </row>
    <row r="7" spans="1:8" ht="15.75" customHeight="1" x14ac:dyDescent="0.25">
      <c r="B7" s="19" t="s">
        <v>82</v>
      </c>
      <c r="C7" s="101">
        <v>0.3525175991802259</v>
      </c>
    </row>
    <row r="8" spans="1:8" ht="15.75" customHeight="1" x14ac:dyDescent="0.25">
      <c r="B8" s="19" t="s">
        <v>83</v>
      </c>
      <c r="C8" s="101">
        <v>1.702472915188815E-2</v>
      </c>
    </row>
    <row r="9" spans="1:8" ht="15.75" customHeight="1" x14ac:dyDescent="0.25">
      <c r="B9" s="19" t="s">
        <v>84</v>
      </c>
      <c r="C9" s="101">
        <v>6.9545097665099878E-2</v>
      </c>
    </row>
    <row r="10" spans="1:8" ht="15.75" customHeight="1" x14ac:dyDescent="0.25">
      <c r="B10" s="19" t="s">
        <v>85</v>
      </c>
      <c r="C10" s="101">
        <v>6.6734760938099769E-2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0.16664211708121521</v>
      </c>
      <c r="D14" s="55">
        <v>0.16664211708121521</v>
      </c>
      <c r="E14" s="55">
        <v>0.16664211708121521</v>
      </c>
      <c r="F14" s="55">
        <v>0.16664211708121521</v>
      </c>
    </row>
    <row r="15" spans="1:8" ht="15.75" customHeight="1" x14ac:dyDescent="0.25">
      <c r="B15" s="19" t="s">
        <v>88</v>
      </c>
      <c r="C15" s="101">
        <v>0.18958457173942631</v>
      </c>
      <c r="D15" s="101">
        <v>0.18958457173942631</v>
      </c>
      <c r="E15" s="101">
        <v>0.18958457173942631</v>
      </c>
      <c r="F15" s="101">
        <v>0.18958457173942631</v>
      </c>
    </row>
    <row r="16" spans="1:8" ht="15.75" customHeight="1" x14ac:dyDescent="0.25">
      <c r="B16" s="19" t="s">
        <v>89</v>
      </c>
      <c r="C16" s="101">
        <v>1.669918827080781E-2</v>
      </c>
      <c r="D16" s="101">
        <v>1.669918827080781E-2</v>
      </c>
      <c r="E16" s="101">
        <v>1.669918827080781E-2</v>
      </c>
      <c r="F16" s="101">
        <v>1.669918827080781E-2</v>
      </c>
    </row>
    <row r="17" spans="1:8" ht="15.75" customHeight="1" x14ac:dyDescent="0.25">
      <c r="B17" s="19" t="s">
        <v>90</v>
      </c>
      <c r="C17" s="101">
        <v>1.0228458228412059E-2</v>
      </c>
      <c r="D17" s="101">
        <v>1.0228458228412059E-2</v>
      </c>
      <c r="E17" s="101">
        <v>1.0228458228412059E-2</v>
      </c>
      <c r="F17" s="101">
        <v>1.0228458228412059E-2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2.20470296531152E-2</v>
      </c>
      <c r="D19" s="101">
        <v>2.20470296531152E-2</v>
      </c>
      <c r="E19" s="101">
        <v>2.20470296531152E-2</v>
      </c>
      <c r="F19" s="101">
        <v>2.20470296531152E-2</v>
      </c>
    </row>
    <row r="20" spans="1:8" ht="15.75" customHeight="1" x14ac:dyDescent="0.25">
      <c r="B20" s="19" t="s">
        <v>93</v>
      </c>
      <c r="C20" s="101">
        <v>0.13091352802426071</v>
      </c>
      <c r="D20" s="101">
        <v>0.13091352802426071</v>
      </c>
      <c r="E20" s="101">
        <v>0.13091352802426071</v>
      </c>
      <c r="F20" s="101">
        <v>0.13091352802426071</v>
      </c>
    </row>
    <row r="21" spans="1:8" ht="15.75" customHeight="1" x14ac:dyDescent="0.25">
      <c r="B21" s="19" t="s">
        <v>94</v>
      </c>
      <c r="C21" s="101">
        <v>9.5853692842870764E-2</v>
      </c>
      <c r="D21" s="101">
        <v>9.5853692842870764E-2</v>
      </c>
      <c r="E21" s="101">
        <v>9.5853692842870764E-2</v>
      </c>
      <c r="F21" s="101">
        <v>9.5853692842870764E-2</v>
      </c>
    </row>
    <row r="22" spans="1:8" ht="15.75" customHeight="1" x14ac:dyDescent="0.25">
      <c r="B22" s="19" t="s">
        <v>95</v>
      </c>
      <c r="C22" s="101">
        <v>0.36803141415989199</v>
      </c>
      <c r="D22" s="101">
        <v>0.36803141415989199</v>
      </c>
      <c r="E22" s="101">
        <v>0.36803141415989199</v>
      </c>
      <c r="F22" s="101">
        <v>0.36803141415989199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7.8500723999999994E-2</v>
      </c>
    </row>
    <row r="27" spans="1:8" ht="15.75" customHeight="1" x14ac:dyDescent="0.25">
      <c r="B27" s="19" t="s">
        <v>102</v>
      </c>
      <c r="C27" s="101">
        <v>7.8598569999999996E-3</v>
      </c>
    </row>
    <row r="28" spans="1:8" ht="15.75" customHeight="1" x14ac:dyDescent="0.25">
      <c r="B28" s="19" t="s">
        <v>103</v>
      </c>
      <c r="C28" s="101">
        <v>0.139408438</v>
      </c>
    </row>
    <row r="29" spans="1:8" ht="15.75" customHeight="1" x14ac:dyDescent="0.25">
      <c r="B29" s="19" t="s">
        <v>104</v>
      </c>
      <c r="C29" s="101">
        <v>0.15153803099999999</v>
      </c>
    </row>
    <row r="30" spans="1:8" ht="15.75" customHeight="1" x14ac:dyDescent="0.25">
      <c r="B30" s="19" t="s">
        <v>2</v>
      </c>
      <c r="C30" s="101">
        <v>9.5629616000000001E-2</v>
      </c>
    </row>
    <row r="31" spans="1:8" ht="15.75" customHeight="1" x14ac:dyDescent="0.25">
      <c r="B31" s="19" t="s">
        <v>105</v>
      </c>
      <c r="C31" s="101">
        <v>9.8062453999999993E-2</v>
      </c>
    </row>
    <row r="32" spans="1:8" ht="15.75" customHeight="1" x14ac:dyDescent="0.25">
      <c r="B32" s="19" t="s">
        <v>106</v>
      </c>
      <c r="C32" s="101">
        <v>1.6473412E-2</v>
      </c>
    </row>
    <row r="33" spans="2:3" ht="15.75" customHeight="1" x14ac:dyDescent="0.25">
      <c r="B33" s="19" t="s">
        <v>107</v>
      </c>
      <c r="C33" s="101">
        <v>7.5640217999999995E-2</v>
      </c>
    </row>
    <row r="34" spans="2:3" ht="15.75" customHeight="1" x14ac:dyDescent="0.25">
      <c r="B34" s="19" t="s">
        <v>108</v>
      </c>
      <c r="C34" s="101">
        <v>0.33688724799999997</v>
      </c>
    </row>
    <row r="35" spans="2:3" ht="15.75" customHeight="1" x14ac:dyDescent="0.25">
      <c r="B35" s="27" t="s">
        <v>41</v>
      </c>
      <c r="C35" s="48">
        <f>SUM(C26:C34)</f>
        <v>0.99999999799999983</v>
      </c>
    </row>
  </sheetData>
  <sheetProtection algorithmName="SHA-512" hashValue="2j6oqYc8kVAbeXj89Ev6pxppwlFbwz3GMpx53twiPyoaf3wLmS6lOylDXvKZfvGm0ceh7uTJyBUYoUROk0HwLQ==" saltValue="mGAomIl7izLatqhuzkPzT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0.44164529069570757</v>
      </c>
      <c r="D2" s="52">
        <f>IFERROR(1-_xlfn.NORM.DIST(_xlfn.NORM.INV(SUM(D4:D5), 0, 1) + 1, 0, 1, TRUE), "")</f>
        <v>0.44164529069570757</v>
      </c>
      <c r="E2" s="52">
        <f>IFERROR(1-_xlfn.NORM.DIST(_xlfn.NORM.INV(SUM(E4:E5), 0, 1) + 1, 0, 1, TRUE), "")</f>
        <v>0.39200160346204949</v>
      </c>
      <c r="F2" s="52">
        <f>IFERROR(1-_xlfn.NORM.DIST(_xlfn.NORM.INV(SUM(F4:F5), 0, 1) + 1, 0, 1, TRUE), "")</f>
        <v>0.19310126340755362</v>
      </c>
      <c r="G2" s="52">
        <f>IFERROR(1-_xlfn.NORM.DIST(_xlfn.NORM.INV(SUM(G4:G5), 0, 1) + 1, 0, 1, TRUE), "")</f>
        <v>0.27262623721012136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0.36158075230429243</v>
      </c>
      <c r="D3" s="52">
        <f>IFERROR(_xlfn.NORM.DIST(_xlfn.NORM.INV(SUM(D4:D5), 0, 1) + 1, 0, 1, TRUE) - SUM(D4:D5), "")</f>
        <v>0.36158075230429243</v>
      </c>
      <c r="E3" s="52">
        <f>IFERROR(_xlfn.NORM.DIST(_xlfn.NORM.INV(SUM(E4:E5), 0, 1) + 1, 0, 1, TRUE) - SUM(E4:E5), "")</f>
        <v>0.3740465365379505</v>
      </c>
      <c r="F3" s="52">
        <f>IFERROR(_xlfn.NORM.DIST(_xlfn.NORM.INV(SUM(F4:F5), 0, 1) + 1, 0, 1, TRUE) - SUM(F4:F5), "")</f>
        <v>0.35999001659244634</v>
      </c>
      <c r="G3" s="52">
        <f>IFERROR(_xlfn.NORM.DIST(_xlfn.NORM.INV(SUM(G4:G5), 0, 1) + 1, 0, 1, TRUE) - SUM(G4:G5), "")</f>
        <v>0.38099312278987862</v>
      </c>
    </row>
    <row r="4" spans="1:15" ht="15.75" customHeight="1" x14ac:dyDescent="0.25">
      <c r="B4" s="5" t="s">
        <v>114</v>
      </c>
      <c r="C4" s="45">
        <v>0.13775412000000001</v>
      </c>
      <c r="D4" s="53">
        <v>0.13775412000000001</v>
      </c>
      <c r="E4" s="53">
        <v>0.12470172</v>
      </c>
      <c r="F4" s="53">
        <v>0.28340530000000003</v>
      </c>
      <c r="G4" s="53">
        <v>0.24160334</v>
      </c>
    </row>
    <row r="5" spans="1:15" ht="15.75" customHeight="1" x14ac:dyDescent="0.25">
      <c r="B5" s="5" t="s">
        <v>115</v>
      </c>
      <c r="C5" s="45">
        <v>5.9019836999999999E-2</v>
      </c>
      <c r="D5" s="53">
        <v>5.9019836999999999E-2</v>
      </c>
      <c r="E5" s="53">
        <v>0.10925014</v>
      </c>
      <c r="F5" s="53">
        <v>0.16350342000000001</v>
      </c>
      <c r="G5" s="53">
        <v>0.1047773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0.7762926287787868</v>
      </c>
      <c r="D8" s="52">
        <f>IFERROR(1-_xlfn.NORM.DIST(_xlfn.NORM.INV(SUM(D10:D11), 0, 1) + 1, 0, 1, TRUE), "")</f>
        <v>0.7762926287787868</v>
      </c>
      <c r="E8" s="52">
        <f>IFERROR(1-_xlfn.NORM.DIST(_xlfn.NORM.INV(SUM(E10:E11), 0, 1) + 1, 0, 1, TRUE), "")</f>
        <v>0.79047640779903361</v>
      </c>
      <c r="F8" s="52">
        <f>IFERROR(1-_xlfn.NORM.DIST(_xlfn.NORM.INV(SUM(F10:F11), 0, 1) + 1, 0, 1, TRUE), "")</f>
        <v>0.84189958763596351</v>
      </c>
      <c r="G8" s="52">
        <f>IFERROR(1-_xlfn.NORM.DIST(_xlfn.NORM.INV(SUM(G10:G11), 0, 1) + 1, 0, 1, TRUE), "")</f>
        <v>0.87427730812556681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0.18448075022121313</v>
      </c>
      <c r="D9" s="52">
        <f>IFERROR(_xlfn.NORM.DIST(_xlfn.NORM.INV(SUM(D10:D11), 0, 1) + 1, 0, 1, TRUE) - SUM(D10:D11), "")</f>
        <v>0.18448075022121313</v>
      </c>
      <c r="E9" s="52">
        <f>IFERROR(_xlfn.NORM.DIST(_xlfn.NORM.INV(SUM(E10:E11), 0, 1) + 1, 0, 1, TRUE) - SUM(E10:E11), "")</f>
        <v>0.17422620820096635</v>
      </c>
      <c r="F9" s="52">
        <f>IFERROR(_xlfn.NORM.DIST(_xlfn.NORM.INV(SUM(F10:F11), 0, 1) + 1, 0, 1, TRUE) - SUM(F10:F11), "")</f>
        <v>0.13547394036403648</v>
      </c>
      <c r="G9" s="52">
        <f>IFERROR(_xlfn.NORM.DIST(_xlfn.NORM.INV(SUM(G10:G11), 0, 1) + 1, 0, 1, TRUE) - SUM(G10:G11), "")</f>
        <v>0.10981990937443324</v>
      </c>
    </row>
    <row r="10" spans="1:15" ht="15.75" customHeight="1" x14ac:dyDescent="0.25">
      <c r="B10" s="5" t="s">
        <v>119</v>
      </c>
      <c r="C10" s="45">
        <v>1.9007881000000001E-2</v>
      </c>
      <c r="D10" s="53">
        <v>1.9007881000000001E-2</v>
      </c>
      <c r="E10" s="53">
        <v>2.6654282000000001E-2</v>
      </c>
      <c r="F10" s="53">
        <v>1.2376778999999999E-2</v>
      </c>
      <c r="G10" s="53">
        <v>1.0315939E-2</v>
      </c>
    </row>
    <row r="11" spans="1:15" ht="15.75" customHeight="1" x14ac:dyDescent="0.25">
      <c r="B11" s="5" t="s">
        <v>120</v>
      </c>
      <c r="C11" s="45">
        <v>2.0218739999999999E-2</v>
      </c>
      <c r="D11" s="53">
        <v>2.0218739999999999E-2</v>
      </c>
      <c r="E11" s="53">
        <v>8.6431019999999997E-3</v>
      </c>
      <c r="F11" s="53">
        <v>1.0249693000000001E-2</v>
      </c>
      <c r="G11" s="53">
        <v>5.5868435000000008E-3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0.54817841550000002</v>
      </c>
      <c r="D14" s="54">
        <v>0.53192778054099998</v>
      </c>
      <c r="E14" s="54">
        <v>0.53192778054099998</v>
      </c>
      <c r="F14" s="54">
        <v>0.51498086482299998</v>
      </c>
      <c r="G14" s="54">
        <v>0.51498086482299998</v>
      </c>
      <c r="H14" s="45">
        <v>0.33200000000000002</v>
      </c>
      <c r="I14" s="55">
        <v>0.33200000000000002</v>
      </c>
      <c r="J14" s="55">
        <v>0.33200000000000002</v>
      </c>
      <c r="K14" s="55">
        <v>0.33200000000000002</v>
      </c>
      <c r="L14" s="45">
        <v>0.27</v>
      </c>
      <c r="M14" s="55">
        <v>0.27</v>
      </c>
      <c r="N14" s="55">
        <v>0.27</v>
      </c>
      <c r="O14" s="55">
        <v>0.27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0.30006244925480552</v>
      </c>
      <c r="D15" s="52">
        <f t="shared" si="0"/>
        <v>0.2911671604403131</v>
      </c>
      <c r="E15" s="52">
        <f t="shared" si="0"/>
        <v>0.2911671604403131</v>
      </c>
      <c r="F15" s="52">
        <f t="shared" si="0"/>
        <v>0.28189074076767856</v>
      </c>
      <c r="G15" s="52">
        <f t="shared" si="0"/>
        <v>0.28189074076767856</v>
      </c>
      <c r="H15" s="52">
        <f t="shared" si="0"/>
        <v>0.18173049200000002</v>
      </c>
      <c r="I15" s="52">
        <f t="shared" si="0"/>
        <v>0.18173049200000002</v>
      </c>
      <c r="J15" s="52">
        <f t="shared" si="0"/>
        <v>0.18173049200000002</v>
      </c>
      <c r="K15" s="52">
        <f t="shared" si="0"/>
        <v>0.18173049200000002</v>
      </c>
      <c r="L15" s="52">
        <f t="shared" si="0"/>
        <v>0.14779287000000002</v>
      </c>
      <c r="M15" s="52">
        <f t="shared" si="0"/>
        <v>0.14779287000000002</v>
      </c>
      <c r="N15" s="52">
        <f t="shared" si="0"/>
        <v>0.14779287000000002</v>
      </c>
      <c r="O15" s="52">
        <f t="shared" si="0"/>
        <v>0.14779287000000002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mwgDwvz3HqNCnXXY0qop333ikqFNrynUj7XXdA8lqeGVcNrKxpAaLTZ99VvzXwhDtdGsWuusFLPbR+9z2Edy1w==" saltValue="/cfKKm/rJSy2V52EwQDa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0.82486890000000002</v>
      </c>
      <c r="D2" s="53">
        <v>0.54791509999999999</v>
      </c>
      <c r="E2" s="53"/>
      <c r="F2" s="53"/>
      <c r="G2" s="53"/>
    </row>
    <row r="3" spans="1:7" x14ac:dyDescent="0.25">
      <c r="B3" s="3" t="s">
        <v>130</v>
      </c>
      <c r="C3" s="53">
        <v>3.1576939999999998E-2</v>
      </c>
      <c r="D3" s="53">
        <v>5.6371119999999997E-2</v>
      </c>
      <c r="E3" s="53"/>
      <c r="F3" s="53"/>
      <c r="G3" s="53"/>
    </row>
    <row r="4" spans="1:7" x14ac:dyDescent="0.25">
      <c r="B4" s="3" t="s">
        <v>131</v>
      </c>
      <c r="C4" s="53">
        <v>0.1075892</v>
      </c>
      <c r="D4" s="53">
        <v>0.28015960000000001</v>
      </c>
      <c r="E4" s="53">
        <v>0.85866099596023604</v>
      </c>
      <c r="F4" s="53">
        <v>0.53487962484359697</v>
      </c>
      <c r="G4" s="53"/>
    </row>
    <row r="5" spans="1:7" x14ac:dyDescent="0.25">
      <c r="B5" s="3" t="s">
        <v>132</v>
      </c>
      <c r="C5" s="52">
        <v>3.5964940000000001E-2</v>
      </c>
      <c r="D5" s="52">
        <v>0.1155542</v>
      </c>
      <c r="E5" s="52">
        <f>1-SUM(E2:E4)</f>
        <v>0.14133900403976396</v>
      </c>
      <c r="F5" s="52">
        <f>1-SUM(F2:F4)</f>
        <v>0.46512037515640303</v>
      </c>
      <c r="G5" s="52">
        <f>1-SUM(G2:G4)</f>
        <v>1</v>
      </c>
    </row>
  </sheetData>
  <sheetProtection algorithmName="SHA-512" hashValue="TnPj6j8+ALwPZ27wwIMANyktHC3mCzADcmFIZKxRKomNc3aqR53ZjxkfzUcl/2VR7QRuaD43Ze8dJorGFucoug==" saltValue="vPnWOy2uJZGPFMc/hIgCO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+Su0KT3h5JQd3iL9uURpZoiJ2lfvH2+SpclcCgo24vfkE3hotOi5g/LHVst/ueyaneS7FmFP20+gO1jwxKfoOg==" saltValue="TTDisvKs8eQ7iTl9buTDy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XnCCrmIv/MC9TRcXLU3rJqGoolrNOeKlkzxmYY3QlIcGYpWT59KZbrqkrbmvR/5jIoRKg/DXviO2kbLuu6uXMg==" saltValue="BAAj0T5hY9jymE87bPJGS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sVjVtMOmnlRo3kT8DEExWU75oFypvEDur4b8zD+K35VAZ46cvP3+wFLlPtJhev9+2XudUqJ23gvaqrO8NCk4fA==" saltValue="GZhKS3m3Nump8p8X6xcc7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pHa1oHXaKfnxULN+VmlN0sdzG8sBjGvxYi8VktHWiGdrmxswfc+OVBc9ofVuCeq3NH/W9xBJ287EOrto9RPVBA==" saltValue="/eJlBMRLK2T6lDb2VdnPT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2024-03-15T03:05:06Z</dcterms:modified>
</cp:coreProperties>
</file>