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1A5CA309-5586-4E29-B234-AAB4D96159B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D12" i="26"/>
  <c r="C12" i="26"/>
  <c r="F10" i="26"/>
  <c r="C10" i="26"/>
  <c r="G5" i="26"/>
  <c r="G12" i="26" s="1"/>
  <c r="F5" i="26"/>
  <c r="F19" i="26" s="1"/>
  <c r="E5" i="26"/>
  <c r="E12" i="26" s="1"/>
  <c r="D5" i="26"/>
  <c r="G3" i="26"/>
  <c r="G10" i="26" s="1"/>
  <c r="F3" i="26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A39" i="2"/>
  <c r="H38" i="2"/>
  <c r="G38" i="2"/>
  <c r="I38" i="2" s="1"/>
  <c r="A32" i="2"/>
  <c r="A29" i="2"/>
  <c r="A27" i="2"/>
  <c r="A26" i="2"/>
  <c r="A24" i="2"/>
  <c r="A16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A18" i="2" l="1"/>
  <c r="A34" i="2"/>
  <c r="G19" i="26"/>
  <c r="A19" i="2"/>
  <c r="A35" i="2"/>
  <c r="I6" i="2"/>
  <c r="I10" i="2"/>
  <c r="A21" i="2"/>
  <c r="A37" i="2"/>
  <c r="F12" i="26"/>
  <c r="A14" i="2"/>
  <c r="A22" i="2"/>
  <c r="A30" i="2"/>
  <c r="A38" i="2"/>
  <c r="A40" i="2"/>
  <c r="D10" i="26"/>
  <c r="E19" i="26"/>
  <c r="A15" i="2"/>
  <c r="A23" i="2"/>
  <c r="A31" i="2"/>
  <c r="E10" i="26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<sst xmlns="http://schemas.openxmlformats.org/spreadsheetml/2006/main" count="2092" uniqueCount="337">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</sst>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65857.82958984375</v>
      </c>
    </row>
    <row r="8" spans="1:3" ht="15" customHeight="1" x14ac:dyDescent="0.25">
      <c r="B8" s="5" t="s">
        <v>19</v>
      </c>
      <c r="C8" s="44">
        <v>2E-3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0.777842483520508</v>
      </c>
    </row>
    <row r="11" spans="1:3" ht="15" customHeight="1" x14ac:dyDescent="0.25">
      <c r="B11" s="5" t="s">
        <v>22</v>
      </c>
      <c r="C11" s="45">
        <v>0.95400000000000007</v>
      </c>
    </row>
    <row r="12" spans="1:3" ht="15" customHeight="1" x14ac:dyDescent="0.25">
      <c r="B12" s="5" t="s">
        <v>23</v>
      </c>
      <c r="C12" s="45">
        <v>0.79200000000000004</v>
      </c>
    </row>
    <row r="13" spans="1:3" ht="15" customHeight="1" x14ac:dyDescent="0.25">
      <c r="B13" s="5" t="s">
        <v>24</v>
      </c>
      <c r="C13" s="45">
        <v>0.39600000000000002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9.9900000000000003E-2</v>
      </c>
    </row>
    <row r="24" spans="1:3" ht="15" customHeight="1" x14ac:dyDescent="0.25">
      <c r="B24" s="15" t="s">
        <v>33</v>
      </c>
      <c r="C24" s="45">
        <v>0.6048</v>
      </c>
    </row>
    <row r="25" spans="1:3" ht="15" customHeight="1" x14ac:dyDescent="0.25">
      <c r="B25" s="15" t="s">
        <v>34</v>
      </c>
      <c r="C25" s="45">
        <v>0.27869999999999989</v>
      </c>
    </row>
    <row r="26" spans="1:3" ht="15" customHeight="1" x14ac:dyDescent="0.25">
      <c r="B26" s="15" t="s">
        <v>35</v>
      </c>
      <c r="C26" s="45">
        <v>1.66E-2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10.1883111614382</v>
      </c>
    </row>
    <row r="38" spans="1:5" ht="15" customHeight="1" x14ac:dyDescent="0.25">
      <c r="B38" s="11" t="s">
        <v>45</v>
      </c>
      <c r="C38" s="43">
        <v>14.269959103193401</v>
      </c>
      <c r="D38" s="12"/>
      <c r="E38" s="13"/>
    </row>
    <row r="39" spans="1:5" ht="15" customHeight="1" x14ac:dyDescent="0.25">
      <c r="B39" s="11" t="s">
        <v>46</v>
      </c>
      <c r="C39" s="43">
        <v>16.0094232560321</v>
      </c>
      <c r="D39" s="12"/>
      <c r="E39" s="12"/>
    </row>
    <row r="40" spans="1:5" ht="15" customHeight="1" x14ac:dyDescent="0.25">
      <c r="B40" s="11" t="s">
        <v>47</v>
      </c>
      <c r="C40" s="100">
        <v>0.61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10.286326170000001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2.8658999999999998E-3</v>
      </c>
      <c r="D45" s="12"/>
    </row>
    <row r="46" spans="1:5" ht="15.75" customHeight="1" x14ac:dyDescent="0.25">
      <c r="B46" s="11" t="s">
        <v>52</v>
      </c>
      <c r="C46" s="45">
        <v>8.5700800000000008E-2</v>
      </c>
      <c r="D46" s="12"/>
    </row>
    <row r="47" spans="1:5" ht="15.75" customHeight="1" x14ac:dyDescent="0.25">
      <c r="B47" s="11" t="s">
        <v>53</v>
      </c>
      <c r="C47" s="45">
        <v>0.142431</v>
      </c>
      <c r="D47" s="12"/>
      <c r="E47" s="13"/>
    </row>
    <row r="48" spans="1:5" ht="15" customHeight="1" x14ac:dyDescent="0.25">
      <c r="B48" s="11" t="s">
        <v>54</v>
      </c>
      <c r="C48" s="46">
        <v>0.76900229999999992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0.55043399999999998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5.0010632999999999E-2</v>
      </c>
    </row>
    <row r="63" spans="1:4" ht="15.75" customHeight="1" x14ac:dyDescent="0.3">
      <c r="A63" s="4"/>
    </row>
  </sheetData>
  <sheetProtection algorithmName="SHA-512" hashValue="fE1ZOZiNdFATvGncUSUNkBOe26e/bRB3BQu8xYxeo/IZ5Cs/iOVNqqbyMNAKsmfqW01giMKihRJP8QIDfHOOAQ==" saltValue="0sYJdiCXO51U7AXOC7at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43.717396986078107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44.834077734861673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190.0226088131827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5.4048141617554819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14.35913960398203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14.35913960398203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14.35913960398203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14.35913960398203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14.35913960398203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14.35913960398203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0.41542488627073471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4.4482358424844612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4.4482358424844612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56.625848696237107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24.569538152769219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4.7648286502090178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20.68706504341953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80.983006519796163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0.43586457689828911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0.85083653245513768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0.95504837712201096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2.6133364444192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R5D1INcjV95o/EpL7SoUnh4tiaiZ2Kf8SMuIQ29vJlNoUD4EUdEeedW5Q25vtnGaYetsNTPx4jeweD8sZAboCw==" saltValue="7+RMETRdUHXxFs0oFCzG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Ou6nmcoRRXHQXGCQ7b3cDIVCId36m1FN16HyPWCPjc0zYKMaRh9XNaZG82+8P5qT2choak1AqkTICMuB+7KivQ==" saltValue="NwzRKWQ9ONua0zJd9wx5S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6wx4I0aRMsHn/7vYcK47LVMAOybROPWPyH1U/3rlrK+7LjdSDyx0g/laJBDV/5BGPcAC5UPDqwxZ+05GHs39yQ==" saltValue="8Iba8Z/Fz3RWlPSSd0SXv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0.16152697743265385</v>
      </c>
      <c r="C3" s="21">
        <f>frac_mam_1_5months * 2.6</f>
        <v>0.16152697743265385</v>
      </c>
      <c r="D3" s="21">
        <f>frac_mam_6_11months * 2.6</f>
        <v>0.19540884722875257</v>
      </c>
      <c r="E3" s="21">
        <f>frac_mam_12_23months * 2.6</f>
        <v>0.16192772409020947</v>
      </c>
      <c r="F3" s="21">
        <f>frac_mam_24_59months * 2.6</f>
        <v>8.8786553383986375E-2</v>
      </c>
    </row>
    <row r="4" spans="1:6" ht="15.75" customHeight="1" x14ac:dyDescent="0.25">
      <c r="A4" s="3" t="s">
        <v>208</v>
      </c>
      <c r="B4" s="21">
        <f>frac_sam_1month * 2.6</f>
        <v>0.11818829663407546</v>
      </c>
      <c r="C4" s="21">
        <f>frac_sam_1_5months * 2.6</f>
        <v>0.11818829663407546</v>
      </c>
      <c r="D4" s="21">
        <f>frac_sam_6_11months * 2.6</f>
        <v>0.11117918416731309</v>
      </c>
      <c r="E4" s="21">
        <f>frac_sam_12_23months * 2.6</f>
        <v>8.3837167174186142E-2</v>
      </c>
      <c r="F4" s="21">
        <f>frac_sam_24_59months * 2.6</f>
        <v>4.7825773302257339E-2</v>
      </c>
    </row>
  </sheetData>
  <sheetProtection algorithmName="SHA-512" hashValue="C3KpnorWrHWjdsp8BDoOeX9Ft/ihzilKgAPXQHCHR+fBLgVI00CD7Ct1FoUz3kI5VpViOMrurIQXbRHTmIoeJw==" saltValue="bq6/NXZuTj8TFt6ClYR13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0.79200000000000004</v>
      </c>
      <c r="E10" s="60">
        <f>IF(ISBLANK(comm_deliv), frac_children_health_facility,1)</f>
        <v>0.79200000000000004</v>
      </c>
      <c r="F10" s="60">
        <f>IF(ISBLANK(comm_deliv), frac_children_health_facility,1)</f>
        <v>0.79200000000000004</v>
      </c>
      <c r="G10" s="60">
        <f>IF(ISBLANK(comm_deliv), frac_children_health_facility,1)</f>
        <v>0.79200000000000004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0.95400000000000007</v>
      </c>
      <c r="I18" s="60">
        <f>frac_PW_health_facility</f>
        <v>0.95400000000000007</v>
      </c>
      <c r="J18" s="60">
        <f>frac_PW_health_facility</f>
        <v>0.95400000000000007</v>
      </c>
      <c r="K18" s="60">
        <f>frac_PW_health_facility</f>
        <v>0.95400000000000007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0.39600000000000002</v>
      </c>
      <c r="M24" s="60">
        <f>famplan_unmet_need</f>
        <v>0.39600000000000002</v>
      </c>
      <c r="N24" s="60">
        <f>famplan_unmet_need</f>
        <v>0.39600000000000002</v>
      </c>
      <c r="O24" s="60">
        <f>famplan_unmet_need</f>
        <v>0.39600000000000002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0.10895048923187248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4.6693066813659624E-2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6.6513960433959907E-2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0.777842483520508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vzcGy69MHCM0sjlGUtcjOkjnDPSnYj45t28K7T8W+IVtEcGNuGBHloASLBOyeg6YClm0R+pjGof4P8n8liwBdw==" saltValue="Bg3Vhu03HluArTasBRUEe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TqLH31u6I6OC+HvsyScC+9UJndv6SadFH9bLt8Oxtlgihh0I/2S8EvbDb/FWZoWeTbWyRR8pbM7gOGTFGiw4Vw==" saltValue="8i8ba6aAdsgX0IqD+Zjef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5eNrvRjeIPxyxeKeOmfeSU/9DeZhSGWiVZ0f1ZHrChlPj+eYx31wiCFlNwtgO1gK6LAgsJiXcHUch1kes3RLUw==" saltValue="SrPhiO0j+3Tk3mFnTCof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9XN4M7bsQ1nVzEkpFkmUgm0G753xiIjIAco635n5UfdLFwQlSW9475I/UceCZCOB1ATAv7wc5MRzgV5NI/kNEg==" saltValue="hYFNhtvxO6ZzI+s51IBEZ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sGi8jVKKD6/fBozgMaIuyYJafI/NjXZpGbPjhjxmREqmexUcEiao8nwwdXT8wewPX4kDRW51xab1+9+QsUquPw==" saltValue="q5HaohpwIp+SVw0sk3Wlk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oixLS05ivSFsqCh3z+TyfXSNQuqev9aZ8FBtU6B+Z3rctlh+p3ukOO1pWaaROnF8jikDf+uj0V6OzKd5HORZg==" saltValue="ScLyBXe8QGrNpV5S3n3Qo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32435.5416</v>
      </c>
      <c r="C2" s="49">
        <v>84000</v>
      </c>
      <c r="D2" s="49">
        <v>229000</v>
      </c>
      <c r="E2" s="49">
        <v>338000</v>
      </c>
      <c r="F2" s="49">
        <v>255000</v>
      </c>
      <c r="G2" s="17">
        <f t="shared" ref="G2:G11" si="0">C2+D2+E2+F2</f>
        <v>906000</v>
      </c>
      <c r="H2" s="17">
        <f t="shared" ref="H2:H11" si="1">(B2 + stillbirth*B2/(1000-stillbirth))/(1-abortion)</f>
        <v>37241.649756504303</v>
      </c>
      <c r="I2" s="17">
        <f t="shared" ref="I2:I11" si="2">G2-H2</f>
        <v>868758.35024349566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31678.700400000002</v>
      </c>
      <c r="C3" s="50">
        <v>85000</v>
      </c>
      <c r="D3" s="50">
        <v>216000</v>
      </c>
      <c r="E3" s="50">
        <v>338000</v>
      </c>
      <c r="F3" s="50">
        <v>260000</v>
      </c>
      <c r="G3" s="17">
        <f t="shared" si="0"/>
        <v>899000</v>
      </c>
      <c r="H3" s="17">
        <f t="shared" si="1"/>
        <v>36372.664270173089</v>
      </c>
      <c r="I3" s="17">
        <f t="shared" si="2"/>
        <v>862627.33572982694</v>
      </c>
    </row>
    <row r="4" spans="1:9" ht="15.75" customHeight="1" x14ac:dyDescent="0.25">
      <c r="A4" s="5">
        <f t="shared" si="3"/>
        <v>2023</v>
      </c>
      <c r="B4" s="49">
        <v>30926.596399999999</v>
      </c>
      <c r="C4" s="50">
        <v>87000</v>
      </c>
      <c r="D4" s="50">
        <v>204000</v>
      </c>
      <c r="E4" s="50">
        <v>336000</v>
      </c>
      <c r="F4" s="50">
        <v>267000</v>
      </c>
      <c r="G4" s="17">
        <f t="shared" si="0"/>
        <v>894000</v>
      </c>
      <c r="H4" s="17">
        <f t="shared" si="1"/>
        <v>35509.117914330331</v>
      </c>
      <c r="I4" s="17">
        <f t="shared" si="2"/>
        <v>858490.88208566967</v>
      </c>
    </row>
    <row r="5" spans="1:9" ht="15.75" customHeight="1" x14ac:dyDescent="0.25">
      <c r="A5" s="5">
        <f t="shared" si="3"/>
        <v>2024</v>
      </c>
      <c r="B5" s="49">
        <v>30170.527399999999</v>
      </c>
      <c r="C5" s="50">
        <v>89000</v>
      </c>
      <c r="D5" s="50">
        <v>194000</v>
      </c>
      <c r="E5" s="50">
        <v>330000</v>
      </c>
      <c r="F5" s="50">
        <v>274000</v>
      </c>
      <c r="G5" s="17">
        <f t="shared" si="0"/>
        <v>887000</v>
      </c>
      <c r="H5" s="17">
        <f t="shared" si="1"/>
        <v>34641.019048062277</v>
      </c>
      <c r="I5" s="17">
        <f t="shared" si="2"/>
        <v>852358.98095193773</v>
      </c>
    </row>
    <row r="6" spans="1:9" ht="15.75" customHeight="1" x14ac:dyDescent="0.25">
      <c r="A6" s="5">
        <f t="shared" si="3"/>
        <v>2025</v>
      </c>
      <c r="B6" s="49">
        <v>29411.040000000001</v>
      </c>
      <c r="C6" s="50">
        <v>90000</v>
      </c>
      <c r="D6" s="50">
        <v>185000</v>
      </c>
      <c r="E6" s="50">
        <v>322000</v>
      </c>
      <c r="F6" s="50">
        <v>282000</v>
      </c>
      <c r="G6" s="17">
        <f t="shared" si="0"/>
        <v>879000</v>
      </c>
      <c r="H6" s="17">
        <f t="shared" si="1"/>
        <v>33768.995263348348</v>
      </c>
      <c r="I6" s="17">
        <f t="shared" si="2"/>
        <v>845231.00473665167</v>
      </c>
    </row>
    <row r="7" spans="1:9" ht="15.75" customHeight="1" x14ac:dyDescent="0.25">
      <c r="A7" s="5">
        <f t="shared" si="3"/>
        <v>2026</v>
      </c>
      <c r="B7" s="49">
        <v>28891.2624</v>
      </c>
      <c r="C7" s="50">
        <v>92000</v>
      </c>
      <c r="D7" s="50">
        <v>179000</v>
      </c>
      <c r="E7" s="50">
        <v>308000</v>
      </c>
      <c r="F7" s="50">
        <v>292000</v>
      </c>
      <c r="G7" s="17">
        <f t="shared" si="0"/>
        <v>871000</v>
      </c>
      <c r="H7" s="17">
        <f t="shared" si="1"/>
        <v>33172.200069693361</v>
      </c>
      <c r="I7" s="17">
        <f t="shared" si="2"/>
        <v>837827.79993030662</v>
      </c>
    </row>
    <row r="8" spans="1:9" ht="15.75" customHeight="1" x14ac:dyDescent="0.25">
      <c r="A8" s="5">
        <f t="shared" si="3"/>
        <v>2027</v>
      </c>
      <c r="B8" s="49">
        <v>28366.7592</v>
      </c>
      <c r="C8" s="50">
        <v>93000</v>
      </c>
      <c r="D8" s="50">
        <v>175000</v>
      </c>
      <c r="E8" s="50">
        <v>293000</v>
      </c>
      <c r="F8" s="50">
        <v>302000</v>
      </c>
      <c r="G8" s="17">
        <f t="shared" si="0"/>
        <v>863000</v>
      </c>
      <c r="H8" s="17">
        <f t="shared" si="1"/>
        <v>32569.979064369818</v>
      </c>
      <c r="I8" s="17">
        <f t="shared" si="2"/>
        <v>830430.02093563019</v>
      </c>
    </row>
    <row r="9" spans="1:9" ht="15.75" customHeight="1" x14ac:dyDescent="0.25">
      <c r="A9" s="5">
        <f t="shared" si="3"/>
        <v>2028</v>
      </c>
      <c r="B9" s="49">
        <v>27846.050400000011</v>
      </c>
      <c r="C9" s="50">
        <v>93000</v>
      </c>
      <c r="D9" s="50">
        <v>173000</v>
      </c>
      <c r="E9" s="50">
        <v>275000</v>
      </c>
      <c r="F9" s="50">
        <v>313000</v>
      </c>
      <c r="G9" s="17">
        <f t="shared" si="0"/>
        <v>854000</v>
      </c>
      <c r="H9" s="17">
        <f t="shared" si="1"/>
        <v>31972.114690965016</v>
      </c>
      <c r="I9" s="17">
        <f t="shared" si="2"/>
        <v>822027.88530903496</v>
      </c>
    </row>
    <row r="10" spans="1:9" ht="15.75" customHeight="1" x14ac:dyDescent="0.25">
      <c r="A10" s="5">
        <f t="shared" si="3"/>
        <v>2029</v>
      </c>
      <c r="B10" s="49">
        <v>27312.98880000001</v>
      </c>
      <c r="C10" s="50">
        <v>93000</v>
      </c>
      <c r="D10" s="50">
        <v>171000</v>
      </c>
      <c r="E10" s="50">
        <v>257000</v>
      </c>
      <c r="F10" s="50">
        <v>322000</v>
      </c>
      <c r="G10" s="17">
        <f t="shared" si="0"/>
        <v>843000</v>
      </c>
      <c r="H10" s="17">
        <f t="shared" si="1"/>
        <v>31360.067152167583</v>
      </c>
      <c r="I10" s="17">
        <f t="shared" si="2"/>
        <v>811639.93284783245</v>
      </c>
    </row>
    <row r="11" spans="1:9" ht="15.75" customHeight="1" x14ac:dyDescent="0.25">
      <c r="A11" s="5">
        <f t="shared" si="3"/>
        <v>2030</v>
      </c>
      <c r="B11" s="49">
        <v>26776.205999999998</v>
      </c>
      <c r="C11" s="50">
        <v>92000</v>
      </c>
      <c r="D11" s="50">
        <v>171000</v>
      </c>
      <c r="E11" s="50">
        <v>240000</v>
      </c>
      <c r="F11" s="50">
        <v>328000</v>
      </c>
      <c r="G11" s="17">
        <f t="shared" si="0"/>
        <v>831000</v>
      </c>
      <c r="H11" s="17">
        <f t="shared" si="1"/>
        <v>30743.747027797712</v>
      </c>
      <c r="I11" s="17">
        <f t="shared" si="2"/>
        <v>800256.25297220226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4dFkHT779pALecOaQjieiCw8I61jHGx0M/XXteQerEPEqDx9oX92GWYb/6IKd1VeME2j9iQ9YXTMIAlS6QXZFg==" saltValue="UqFXks6XQqcE+OA3Y/GY7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2.8707544419795639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2.8707544419795639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2.0758843466613923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2.0758843466613923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2.236034184879355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2.236034184879355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1.7108521576155629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1.7108521576155629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3.5722873577218999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3.5722873577218999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2.4793409766594143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2.4793409766594143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ErpGXQQBf+JCyni/iijUwMupKik1hUNcz7ZP5GzvU8WKRqA8VW53uh6vUKqi0jPxKIzRfpnus1pOWRjuWxvVuw==" saltValue="VtvUgKMA/YzT6t8TS7KuP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JDn3litFqnsXkBUgxZ99U0YOT5z2hFdtc/SQi/B20FeXLsIxkzk/0Z/27JIUB2L0orfjL20fopFHhHgrfhXFfw==" saltValue="1fEFmn6zX4J8aqJ+PzsT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JcM2wiPlqDp7RkBrSWeKDXVGNHNkGAkXvXasLGO03eCmCI6ZS+wtPC9N5hmyMl9It1glpdeuL+UQ92k6dpttGQ==" saltValue="hQq1pxjyZCAMWJzrFkUp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0.56296131529467452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0.56296131529467452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0.84160984554682261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0.84160984554682261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0.84160984554682261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0.84160984554682261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0.36277569393211007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0.36277569393211007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0.80414832288083471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0.80414832288083471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0.80414832288083471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0.80414832288083471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0.89284839449898412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0.89284839449898412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0.87989751112083237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0.87989751112083237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0.87989751112083237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0.87989751112083237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hSLI3MkY5gqNTfCCI0e98Tp823t0mQJo6W4pWo1isuwYLinP8qzZbZEf/n2odat2s3hECNUgoZaVJq3T+knDPw==" saltValue="hM94fyjwrBI24IN7+l9O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TinREC8ku9ATnF9GOp/WsbVeIxr3ufzcy/JOgmzv2ZkBMEjyS5MkpKb/gMF0WHog/W1A5n7kxdQ2ir6+oxhynA==" saltValue="SeAKCa53HCyg9PoIu+9t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0.57677689135396715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0.66988603596410923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0.66988603596410923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0.64513839602555012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0.64513839602555012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0.64513839602555012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0.64513839602555012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0.65853658536585358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0.65853658536585358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0.65853658536585358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0.65853658536585358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0.67948123429924179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0.75942001913758039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0.75942001913758039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0.7387669801462905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0.7387669801462905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0.7387669801462905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0.7387669801462905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0.38353683163430152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0.48089697884555127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0.48089697884555127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0.45353892941148527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0.45353892941148527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0.45353892941148527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0.45353892941148527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0.46820809248554918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0.46820809248554918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0.46820809248554918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0.46820809248554918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0.55289936208948542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0.64805619914593604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0.64805619914593604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0.6225940369857843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0.6225940369857843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0.6225940369857843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0.6225940369857843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0.63636363636363646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0.63636363636363646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0.63636363636363646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0.63636363636363646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0.94486165446392167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0.96228695872145609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0.96228695872145609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0.95808826611156894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0.95808826611156894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0.95808826611156894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0.95808826611156894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0.96039603960396036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0.96039603960396036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0.96039603960396036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0.96039603960396036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0.85905236771623372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0.90074725168464753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0.90074725168464753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0.890476972783528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0.890476972783528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0.890476972783528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0.890476972783528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0.89610389610389607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0.89610389610389607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0.89610389610389607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0.89610389610389607</v>
      </c>
    </row>
  </sheetData>
  <sheetProtection algorithmName="SHA-512" hashValue="76lyzDEtjKldVxo05aXJoCUIKms0Lh5hJdYt5M8MWLQ3tORdRa2/r7d46+PU7QI+zDoxHLcUnHTqr4xtJk1dQA==" saltValue="7DYHWVJDfmr12BNe2N6b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0.85430431085331948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0.85465498756996416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0.85600696436445123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0.85774970065811029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0.85209786177083624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0.85032577118424801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0.85207714716360516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0.85576410029548378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0.7688738797679876</v>
      </c>
      <c r="E10" s="90">
        <f>E3*0.9</f>
        <v>0.76918948881296778</v>
      </c>
      <c r="F10" s="90">
        <f>F3*0.9</f>
        <v>0.77040626792800615</v>
      </c>
      <c r="G10" s="90">
        <f>G3*0.9</f>
        <v>0.77197473059229926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0.76688807559375261</v>
      </c>
      <c r="E12" s="90">
        <f>E5*0.9</f>
        <v>0.76529319406582319</v>
      </c>
      <c r="F12" s="90">
        <f>F5*0.9</f>
        <v>0.7668694324472447</v>
      </c>
      <c r="G12" s="90">
        <f>G5*0.9</f>
        <v>0.77018769026593537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0.89701952639598548</v>
      </c>
      <c r="E17" s="90">
        <f>E3*1.05</f>
        <v>0.89738773694846241</v>
      </c>
      <c r="F17" s="90">
        <f>F3*1.05</f>
        <v>0.89880731258267388</v>
      </c>
      <c r="G17" s="90">
        <f>G3*1.05</f>
        <v>0.90063718569101581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0.89470275485937811</v>
      </c>
      <c r="E19" s="90">
        <f>E5*1.05</f>
        <v>0.89284205974346043</v>
      </c>
      <c r="F19" s="90">
        <f>F5*1.05</f>
        <v>0.89468100452178545</v>
      </c>
      <c r="G19" s="90">
        <f>G5*1.05</f>
        <v>0.89855230531025798</v>
      </c>
    </row>
  </sheetData>
  <sheetProtection algorithmName="SHA-512" hashValue="MUqFSu2UmhteTyXqA41Ajqcp89GeenLAbMMzGVBRQfZCXA8TpV5n01od+ROmO3WjRjQP6kjw3XMzLure5AbnRw==" saltValue="sP1ZgYNi432jFMPbfbSXu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hNTBEGoqizkvp2DczljtuV4J/hRHOU373RcUFZIeNZGwsFIzw/HGCCMxnVu35/bhpzY5XkBlxUzyHwrligsV7g==" saltValue="g1dCTewkyfYAUcooiIff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OuHHbvl1al8jqwbdekIiALPUQ6JdDH3N6y9v8pNUILA9t5gBy+7gWV2tzijFxowgw9zuwpueo2Rw68XAybSFQg==" saltValue="TFQEy4SHqYdwTo0feFyhw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0.15957447432679839</v>
      </c>
    </row>
    <row r="5" spans="1:8" ht="15.75" customHeight="1" x14ac:dyDescent="0.25">
      <c r="B5" s="19" t="s">
        <v>80</v>
      </c>
      <c r="C5" s="101">
        <v>3.1914893049169141E-2</v>
      </c>
    </row>
    <row r="6" spans="1:8" ht="15.75" customHeight="1" x14ac:dyDescent="0.25">
      <c r="B6" s="19" t="s">
        <v>81</v>
      </c>
      <c r="C6" s="101">
        <v>0.14893617362247261</v>
      </c>
    </row>
    <row r="7" spans="1:8" ht="15.75" customHeight="1" x14ac:dyDescent="0.25">
      <c r="B7" s="19" t="s">
        <v>82</v>
      </c>
      <c r="C7" s="101">
        <v>0.34042551374796293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0.2127659597150966</v>
      </c>
    </row>
    <row r="10" spans="1:8" ht="15.75" customHeight="1" x14ac:dyDescent="0.25">
      <c r="B10" s="19" t="s">
        <v>85</v>
      </c>
      <c r="C10" s="101">
        <v>0.1063829855385004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88</v>
      </c>
      <c r="C15" s="101">
        <v>0.18969127135882199</v>
      </c>
      <c r="D15" s="101">
        <v>0.18969127135882199</v>
      </c>
      <c r="E15" s="101">
        <v>0.18969127135882199</v>
      </c>
      <c r="F15" s="101">
        <v>0.18969127135882199</v>
      </c>
    </row>
    <row r="16" spans="1:8" ht="15.75" customHeight="1" x14ac:dyDescent="0.25">
      <c r="B16" s="19" t="s">
        <v>89</v>
      </c>
      <c r="C16" s="101">
        <v>3.4607090481600038E-2</v>
      </c>
      <c r="D16" s="101">
        <v>3.4607090481600038E-2</v>
      </c>
      <c r="E16" s="101">
        <v>3.4607090481600038E-2</v>
      </c>
      <c r="F16" s="101">
        <v>3.4607090481600038E-2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8.0534739416660117E-2</v>
      </c>
      <c r="D20" s="101">
        <v>8.0534739416660117E-2</v>
      </c>
      <c r="E20" s="101">
        <v>8.0534739416660117E-2</v>
      </c>
      <c r="F20" s="101">
        <v>8.0534739416660117E-2</v>
      </c>
    </row>
    <row r="21" spans="1:8" ht="15.75" customHeight="1" x14ac:dyDescent="0.25">
      <c r="B21" s="19" t="s">
        <v>94</v>
      </c>
      <c r="C21" s="101">
        <v>0.1050817435504159</v>
      </c>
      <c r="D21" s="101">
        <v>0.1050817435504159</v>
      </c>
      <c r="E21" s="101">
        <v>0.1050817435504159</v>
      </c>
      <c r="F21" s="101">
        <v>0.1050817435504159</v>
      </c>
    </row>
    <row r="22" spans="1:8" ht="15.75" customHeight="1" x14ac:dyDescent="0.25">
      <c r="B22" s="19" t="s">
        <v>95</v>
      </c>
      <c r="C22" s="101">
        <v>0.59008515519250204</v>
      </c>
      <c r="D22" s="101">
        <v>0.59008515519250204</v>
      </c>
      <c r="E22" s="101">
        <v>0.59008515519250204</v>
      </c>
      <c r="F22" s="101">
        <v>0.59008515519250204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6.3877289000000004E-2</v>
      </c>
    </row>
    <row r="27" spans="1:8" ht="15.75" customHeight="1" x14ac:dyDescent="0.25">
      <c r="B27" s="19" t="s">
        <v>102</v>
      </c>
      <c r="C27" s="101">
        <v>0.18947355599999999</v>
      </c>
    </row>
    <row r="28" spans="1:8" ht="15.75" customHeight="1" x14ac:dyDescent="0.25">
      <c r="B28" s="19" t="s">
        <v>103</v>
      </c>
      <c r="C28" s="101">
        <v>0.10579783700000001</v>
      </c>
    </row>
    <row r="29" spans="1:8" ht="15.75" customHeight="1" x14ac:dyDescent="0.25">
      <c r="B29" s="19" t="s">
        <v>104</v>
      </c>
      <c r="C29" s="101">
        <v>0.116400988</v>
      </c>
    </row>
    <row r="30" spans="1:8" ht="15.75" customHeight="1" x14ac:dyDescent="0.25">
      <c r="B30" s="19" t="s">
        <v>2</v>
      </c>
      <c r="C30" s="101">
        <v>5.2355714999999997E-2</v>
      </c>
    </row>
    <row r="31" spans="1:8" ht="15.75" customHeight="1" x14ac:dyDescent="0.25">
      <c r="B31" s="19" t="s">
        <v>105</v>
      </c>
      <c r="C31" s="101">
        <v>0.15858112799999999</v>
      </c>
    </row>
    <row r="32" spans="1:8" ht="15.75" customHeight="1" x14ac:dyDescent="0.25">
      <c r="B32" s="19" t="s">
        <v>106</v>
      </c>
      <c r="C32" s="101">
        <v>7.0649206000000006E-2</v>
      </c>
    </row>
    <row r="33" spans="2:3" ht="15.75" customHeight="1" x14ac:dyDescent="0.25">
      <c r="B33" s="19" t="s">
        <v>107</v>
      </c>
      <c r="C33" s="101">
        <v>0.120208732</v>
      </c>
    </row>
    <row r="34" spans="2:3" ht="15.75" customHeight="1" x14ac:dyDescent="0.25">
      <c r="B34" s="19" t="s">
        <v>108</v>
      </c>
      <c r="C34" s="101">
        <v>0.122655549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uIx0sEHQCQ07BHXWwfRr/noixqtLNczb3mX3php+XNv3z1ETsUr9qxy97M64FW9ueyj0wkENQ76tb5VcvA7xDg==" saltValue="l7V/Qbj/rNQWgwTPHfD1l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0.44271398086223201</v>
      </c>
      <c r="D2" s="52">
        <f>IFERROR(1-_xlfn.NORM.DIST(_xlfn.NORM.INV(SUM(D4:D5), 0, 1) + 1, 0, 1, TRUE), "")</f>
        <v>0.44271398086223201</v>
      </c>
      <c r="E2" s="52">
        <f>IFERROR(1-_xlfn.NORM.DIST(_xlfn.NORM.INV(SUM(E4:E5), 0, 1) + 1, 0, 1, TRUE), "")</f>
        <v>0.34328145737735127</v>
      </c>
      <c r="F2" s="52">
        <f>IFERROR(1-_xlfn.NORM.DIST(_xlfn.NORM.INV(SUM(F4:F5), 0, 1) + 1, 0, 1, TRUE), "")</f>
        <v>0.17237054586040745</v>
      </c>
      <c r="G2" s="52">
        <f>IFERROR(1-_xlfn.NORM.DIST(_xlfn.NORM.INV(SUM(G4:G5), 0, 1) + 1, 0, 1, TRUE), "")</f>
        <v>0.16113967161260878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0.3612617333455781</v>
      </c>
      <c r="D3" s="52">
        <f>IFERROR(_xlfn.NORM.DIST(_xlfn.NORM.INV(SUM(D4:D5), 0, 1) + 1, 0, 1, TRUE) - SUM(D4:D5), "")</f>
        <v>0.3612617333455781</v>
      </c>
      <c r="E3" s="52">
        <f>IFERROR(_xlfn.NORM.DIST(_xlfn.NORM.INV(SUM(E4:E5), 0, 1) + 1, 0, 1, TRUE) - SUM(E4:E5), "")</f>
        <v>0.3812899614359907</v>
      </c>
      <c r="F3" s="52">
        <f>IFERROR(_xlfn.NORM.DIST(_xlfn.NORM.INV(SUM(F4:F5), 0, 1) + 1, 0, 1, TRUE) - SUM(F4:F5), "")</f>
        <v>0.34962436547079156</v>
      </c>
      <c r="G3" s="52">
        <f>IFERROR(_xlfn.NORM.DIST(_xlfn.NORM.INV(SUM(G4:G5), 0, 1) + 1, 0, 1, TRUE) - SUM(G4:G5), "")</f>
        <v>0.34293555504640627</v>
      </c>
    </row>
    <row r="4" spans="1:15" ht="15.75" customHeight="1" x14ac:dyDescent="0.25">
      <c r="B4" s="5" t="s">
        <v>114</v>
      </c>
      <c r="C4" s="45">
        <v>0.112322704963234</v>
      </c>
      <c r="D4" s="53">
        <v>0.112322704963234</v>
      </c>
      <c r="E4" s="53">
        <v>0.166080500946093</v>
      </c>
      <c r="F4" s="53">
        <v>0.25655427004518899</v>
      </c>
      <c r="G4" s="53">
        <v>0.26512859806654798</v>
      </c>
    </row>
    <row r="5" spans="1:15" ht="15.75" customHeight="1" x14ac:dyDescent="0.25">
      <c r="B5" s="5" t="s">
        <v>115</v>
      </c>
      <c r="C5" s="45">
        <v>8.3701580828955902E-2</v>
      </c>
      <c r="D5" s="53">
        <v>8.3701580828955902E-2</v>
      </c>
      <c r="E5" s="53">
        <v>0.109348080240565</v>
      </c>
      <c r="F5" s="53">
        <v>0.22145081862361199</v>
      </c>
      <c r="G5" s="53">
        <v>0.23079617527443699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0.59463559811179068</v>
      </c>
      <c r="D8" s="52">
        <f>IFERROR(1-_xlfn.NORM.DIST(_xlfn.NORM.INV(SUM(D10:D11), 0, 1) + 1, 0, 1, TRUE), "")</f>
        <v>0.59463559811179068</v>
      </c>
      <c r="E8" s="52">
        <f>IFERROR(1-_xlfn.NORM.DIST(_xlfn.NORM.INV(SUM(E10:E11), 0, 1) + 1, 0, 1, TRUE), "")</f>
        <v>0.57356455818407126</v>
      </c>
      <c r="F8" s="52">
        <f>IFERROR(1-_xlfn.NORM.DIST(_xlfn.NORM.INV(SUM(F10:F11), 0, 1) + 1, 0, 1, TRUE), "")</f>
        <v>0.62300966941728453</v>
      </c>
      <c r="G8" s="52">
        <f>IFERROR(1-_xlfn.NORM.DIST(_xlfn.NORM.INV(SUM(G10:G11), 0, 1) + 1, 0, 1, TRUE), "")</f>
        <v>0.73259472032102957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0.29778160417023652</v>
      </c>
      <c r="D9" s="52">
        <f>IFERROR(_xlfn.NORM.DIST(_xlfn.NORM.INV(SUM(D10:D11), 0, 1) + 1, 0, 1, TRUE) - SUM(D10:D11), "")</f>
        <v>0.29778160417023652</v>
      </c>
      <c r="E9" s="52">
        <f>IFERROR(_xlfn.NORM.DIST(_xlfn.NORM.INV(SUM(E10:E11), 0, 1) + 1, 0, 1, TRUE) - SUM(E10:E11), "")</f>
        <v>0.30851696820205732</v>
      </c>
      <c r="F9" s="52">
        <f>IFERROR(_xlfn.NORM.DIST(_xlfn.NORM.INV(SUM(F10:F11), 0, 1) + 1, 0, 1, TRUE) - SUM(F10:F11), "")</f>
        <v>0.28246537240410174</v>
      </c>
      <c r="G9" s="52">
        <f>IFERROR(_xlfn.NORM.DIST(_xlfn.NORM.INV(SUM(G10:G11), 0, 1) + 1, 0, 1, TRUE) - SUM(G10:G11), "")</f>
        <v>0.21486207710733823</v>
      </c>
    </row>
    <row r="10" spans="1:15" ht="15.75" customHeight="1" x14ac:dyDescent="0.25">
      <c r="B10" s="5" t="s">
        <v>119</v>
      </c>
      <c r="C10" s="45">
        <v>6.2125760551020703E-2</v>
      </c>
      <c r="D10" s="53">
        <v>6.2125760551020703E-2</v>
      </c>
      <c r="E10" s="53">
        <v>7.5157248934135598E-2</v>
      </c>
      <c r="F10" s="53">
        <v>6.2279893880849799E-2</v>
      </c>
      <c r="G10" s="53">
        <v>3.4148674378456298E-2</v>
      </c>
    </row>
    <row r="11" spans="1:15" ht="15.75" customHeight="1" x14ac:dyDescent="0.25">
      <c r="B11" s="5" t="s">
        <v>120</v>
      </c>
      <c r="C11" s="45">
        <v>4.5457037166952097E-2</v>
      </c>
      <c r="D11" s="53">
        <v>4.5457037166952097E-2</v>
      </c>
      <c r="E11" s="53">
        <v>4.2761224679735803E-2</v>
      </c>
      <c r="F11" s="53">
        <v>3.2245064297763901E-2</v>
      </c>
      <c r="G11" s="53">
        <v>1.8394528193175899E-2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0.49655583125000002</v>
      </c>
      <c r="D14" s="54">
        <v>0.47001446794099999</v>
      </c>
      <c r="E14" s="54">
        <v>0.47001446794099999</v>
      </c>
      <c r="F14" s="54">
        <v>0.21084454282599999</v>
      </c>
      <c r="G14" s="54">
        <v>0.21084454282599999</v>
      </c>
      <c r="H14" s="45">
        <v>0.29299999999999998</v>
      </c>
      <c r="I14" s="55">
        <v>0.29299999999999998</v>
      </c>
      <c r="J14" s="55">
        <v>0.29299999999999998</v>
      </c>
      <c r="K14" s="55">
        <v>0.29299999999999998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0.27332121241826252</v>
      </c>
      <c r="D15" s="52">
        <f t="shared" si="0"/>
        <v>0.25871194364663636</v>
      </c>
      <c r="E15" s="52">
        <f t="shared" si="0"/>
        <v>0.25871194364663636</v>
      </c>
      <c r="F15" s="52">
        <f t="shared" si="0"/>
        <v>0.11605600508588647</v>
      </c>
      <c r="G15" s="52">
        <f t="shared" si="0"/>
        <v>0.11605600508588647</v>
      </c>
      <c r="H15" s="52">
        <f t="shared" si="0"/>
        <v>0.16127716199999997</v>
      </c>
      <c r="I15" s="52">
        <f t="shared" si="0"/>
        <v>0.16127716199999997</v>
      </c>
      <c r="J15" s="52">
        <f t="shared" si="0"/>
        <v>0.16127716199999997</v>
      </c>
      <c r="K15" s="52">
        <f t="shared" si="0"/>
        <v>0.16127716199999997</v>
      </c>
      <c r="L15" s="52">
        <f t="shared" si="0"/>
        <v>0.13760849999999999</v>
      </c>
      <c r="M15" s="52">
        <f t="shared" si="0"/>
        <v>0.13760849999999999</v>
      </c>
      <c r="N15" s="52">
        <f t="shared" si="0"/>
        <v>0.13760849999999999</v>
      </c>
      <c r="O15" s="52">
        <f t="shared" si="0"/>
        <v>0.13760849999999999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2ITDb8NILAOPehLzVKZ8IzQynz05g+dZoG/UeamGu8V2a2z0bDxw+WaVvnF/QAQG06oA7FTn8zuxRBAsS8iUQ==" saltValue="4Id12TsclAObjp0vr/xY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0.70065552836136602</v>
      </c>
      <c r="D2" s="53">
        <v>0.47949795743589702</v>
      </c>
      <c r="E2" s="53"/>
      <c r="F2" s="53"/>
      <c r="G2" s="53"/>
    </row>
    <row r="3" spans="1:7" x14ac:dyDescent="0.25">
      <c r="B3" s="3" t="s">
        <v>130</v>
      </c>
      <c r="C3" s="53">
        <v>0.166770393475005</v>
      </c>
      <c r="D3" s="53">
        <v>0.18713821230769201</v>
      </c>
      <c r="E3" s="53"/>
      <c r="F3" s="53"/>
      <c r="G3" s="53"/>
    </row>
    <row r="4" spans="1:7" x14ac:dyDescent="0.25">
      <c r="B4" s="3" t="s">
        <v>131</v>
      </c>
      <c r="C4" s="53">
        <v>0.11331346789737499</v>
      </c>
      <c r="D4" s="53">
        <v>0.31432332743589703</v>
      </c>
      <c r="E4" s="53">
        <v>0.95904587324245594</v>
      </c>
      <c r="F4" s="53">
        <v>0.78975971424257396</v>
      </c>
      <c r="G4" s="53"/>
    </row>
    <row r="5" spans="1:7" x14ac:dyDescent="0.25">
      <c r="B5" s="3" t="s">
        <v>132</v>
      </c>
      <c r="C5" s="52">
        <v>1.9381586010509801E-2</v>
      </c>
      <c r="D5" s="52">
        <v>1.9040498354215101E-2</v>
      </c>
      <c r="E5" s="52">
        <f>1-SUM(E2:E4)</f>
        <v>4.0954126757544063E-2</v>
      </c>
      <c r="F5" s="52">
        <f>1-SUM(F2:F4)</f>
        <v>0.21024028575742604</v>
      </c>
      <c r="G5" s="52">
        <f>1-SUM(G2:G4)</f>
        <v>1</v>
      </c>
    </row>
  </sheetData>
  <sheetProtection algorithmName="SHA-512" hashValue="N+N8YThIvFL5LA3wBGQhoB5M6BS1bDtS1OnbBDQYR1IZlCn7By2GMQOzZWxrYaedCYc1u3nm2W6WiPZYNeZ5kQ==" saltValue="F6EXy/mkjLHO+1eydqeQE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2d8BPhZOReKMwJTYDM5gV0PqtJoiIksZ5DhZvW0XMgrw64nWfWhN39mrBFtlfBr/eO4Qf4Q32uqVOsWIrzY+A==" saltValue="9qlKFLNhGdQZd4kocKp79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T/ih7wSWaWF05YB86bTHAw9uN96u+Yl+LKzmTv/HxR4j5OGsbOGYmv9cMVnCqn4oqUwdklChhJL8Eo5LqvlaMw==" saltValue="wM4Gksqmg//uFPmOGXI0M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zEnLE5lMThxWSOFGcYPeR/0V4c0vttTtA8eoPoFhsYlViZ5AgE+YS0XUzaToAEL7YeM6roY2ra5aqaxZ8rAkEw==" saltValue="p49nYCegMTCD2wtwuQHlz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6Em58i05jxRo9Mw1QU+mRz4imbKtHofB/6WcbF0YifHGwrkpUBhUzjHfPdg3cdqc32B5t8Rha2aUMUhgo7Akbw==" saltValue="1thZWfMhnPs4VRdT8AZQJ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2024-03-15T03:05:46Z</dcterms:modified>
</cp:coreProperties>
</file>