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C5558E58-7481-4699-A944-6952D8F7123F}" xr6:coauthVersionLast="47" xr6:coauthVersionMax="47" xr10:uidLastSave="{00000000-0000-0000-0000-000000000000}"/>
  <bookViews>
    <workbookView xWindow="0" yWindow="152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G17" i="26"/>
  <c r="C17" i="26"/>
  <c r="C12" i="26"/>
  <c r="C10" i="26"/>
  <c r="G5" i="26"/>
  <c r="G19" i="26" s="1"/>
  <c r="F5" i="26"/>
  <c r="F19" i="26" s="1"/>
  <c r="E5" i="26"/>
  <c r="E12" i="26" s="1"/>
  <c r="D5" i="26"/>
  <c r="D12" i="26" s="1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7" i="2"/>
  <c r="A35" i="2"/>
  <c r="A21" i="2"/>
  <c r="A19" i="2"/>
  <c r="I11" i="2"/>
  <c r="H11" i="2"/>
  <c r="G11" i="2"/>
  <c r="H10" i="2"/>
  <c r="G10" i="2"/>
  <c r="I10" i="2" s="1"/>
  <c r="H9" i="2"/>
  <c r="I9" i="2" s="1"/>
  <c r="G9" i="2"/>
  <c r="H8" i="2"/>
  <c r="G8" i="2"/>
  <c r="H7" i="2"/>
  <c r="I7" i="2" s="1"/>
  <c r="G7" i="2"/>
  <c r="H6" i="2"/>
  <c r="G6" i="2"/>
  <c r="I6" i="2" s="1"/>
  <c r="H5" i="2"/>
  <c r="I5" i="2" s="1"/>
  <c r="G5" i="2"/>
  <c r="H4" i="2"/>
  <c r="G4" i="2"/>
  <c r="I4" i="2" s="1"/>
  <c r="I3" i="2"/>
  <c r="H3" i="2"/>
  <c r="G3" i="2"/>
  <c r="H2" i="2"/>
  <c r="G2" i="2"/>
  <c r="A2" i="2"/>
  <c r="A36" i="2" s="1"/>
  <c r="C33" i="1"/>
  <c r="C20" i="1"/>
  <c r="I2" i="2" l="1"/>
  <c r="I8" i="2"/>
  <c r="A26" i="2"/>
  <c r="D19" i="26"/>
  <c r="A24" i="2"/>
  <c r="A39" i="2"/>
  <c r="E10" i="26"/>
  <c r="A16" i="2"/>
  <c r="A32" i="2"/>
  <c r="A27" i="2"/>
  <c r="A3" i="2"/>
  <c r="A13" i="2"/>
  <c r="A29" i="2"/>
  <c r="A18" i="2"/>
  <c r="A34" i="2"/>
  <c r="F12" i="26"/>
  <c r="A14" i="2"/>
  <c r="A22" i="2"/>
  <c r="A30" i="2"/>
  <c r="A38" i="2"/>
  <c r="A40" i="2"/>
  <c r="D10" i="26"/>
  <c r="G12" i="26"/>
  <c r="E19" i="26"/>
  <c r="A15" i="2"/>
  <c r="A23" i="2"/>
  <c r="A31" i="2"/>
  <c r="F10" i="26"/>
  <c r="A17" i="2"/>
  <c r="A25" i="2"/>
  <c r="A33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<sst xmlns="http://schemas.openxmlformats.org/spreadsheetml/2006/main" count="2092" uniqueCount="337">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</sst>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4172063.625</v>
      </c>
    </row>
    <row r="8" spans="1:3" ht="15" customHeight="1" x14ac:dyDescent="0.25">
      <c r="B8" s="5" t="s">
        <v>19</v>
      </c>
      <c r="C8" s="44">
        <v>0.77599999999999991</v>
      </c>
    </row>
    <row r="9" spans="1:3" ht="15" customHeight="1" x14ac:dyDescent="0.25">
      <c r="B9" s="5" t="s">
        <v>20</v>
      </c>
      <c r="C9" s="45">
        <v>0.6</v>
      </c>
    </row>
    <row r="10" spans="1:3" ht="15" customHeight="1" x14ac:dyDescent="0.25">
      <c r="B10" s="5" t="s">
        <v>21</v>
      </c>
      <c r="C10" s="45">
        <v>0.30287649154663099</v>
      </c>
    </row>
    <row r="11" spans="1:3" ht="15" customHeight="1" x14ac:dyDescent="0.25">
      <c r="B11" s="5" t="s">
        <v>22</v>
      </c>
      <c r="C11" s="45">
        <v>0.51100000000000001</v>
      </c>
    </row>
    <row r="12" spans="1:3" ht="15" customHeight="1" x14ac:dyDescent="0.25">
      <c r="B12" s="5" t="s">
        <v>23</v>
      </c>
      <c r="C12" s="45">
        <v>0.40500000000000003</v>
      </c>
    </row>
    <row r="13" spans="1:3" ht="15" customHeight="1" x14ac:dyDescent="0.25">
      <c r="B13" s="5" t="s">
        <v>24</v>
      </c>
      <c r="C13" s="45">
        <v>0.504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0.13400000000000001</v>
      </c>
    </row>
    <row r="24" spans="1:3" ht="15" customHeight="1" x14ac:dyDescent="0.25">
      <c r="B24" s="15" t="s">
        <v>33</v>
      </c>
      <c r="C24" s="45">
        <v>0.50590000000000002</v>
      </c>
    </row>
    <row r="25" spans="1:3" ht="15" customHeight="1" x14ac:dyDescent="0.25">
      <c r="B25" s="15" t="s">
        <v>34</v>
      </c>
      <c r="C25" s="45">
        <v>0.29549999999999998</v>
      </c>
    </row>
    <row r="26" spans="1:3" ht="15" customHeight="1" x14ac:dyDescent="0.25">
      <c r="B26" s="15" t="s">
        <v>35</v>
      </c>
      <c r="C26" s="45">
        <v>6.4600000000000005E-2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0.225789688504516</v>
      </c>
    </row>
    <row r="30" spans="1:3" ht="14.25" customHeight="1" x14ac:dyDescent="0.25">
      <c r="B30" s="25" t="s">
        <v>38</v>
      </c>
      <c r="C30" s="99">
        <v>6.1768934281235401E-2</v>
      </c>
    </row>
    <row r="31" spans="1:3" ht="14.25" customHeight="1" x14ac:dyDescent="0.25">
      <c r="B31" s="25" t="s">
        <v>39</v>
      </c>
      <c r="C31" s="99">
        <v>0.115648514802313</v>
      </c>
    </row>
    <row r="32" spans="1:3" ht="14.25" customHeight="1" x14ac:dyDescent="0.25">
      <c r="B32" s="25" t="s">
        <v>40</v>
      </c>
      <c r="C32" s="99">
        <v>0.59679286241193596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20.119695429552198</v>
      </c>
    </row>
    <row r="38" spans="1:5" ht="15" customHeight="1" x14ac:dyDescent="0.25">
      <c r="B38" s="11" t="s">
        <v>45</v>
      </c>
      <c r="C38" s="43">
        <v>36.472119246040997</v>
      </c>
      <c r="D38" s="12"/>
      <c r="E38" s="13"/>
    </row>
    <row r="39" spans="1:5" ht="15" customHeight="1" x14ac:dyDescent="0.25">
      <c r="B39" s="11" t="s">
        <v>46</v>
      </c>
      <c r="C39" s="43">
        <v>50.603029251902903</v>
      </c>
      <c r="D39" s="12"/>
      <c r="E39" s="12"/>
    </row>
    <row r="40" spans="1:5" ht="15" customHeight="1" x14ac:dyDescent="0.25">
      <c r="B40" s="11" t="s">
        <v>47</v>
      </c>
      <c r="C40" s="100">
        <v>3.35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16.475219589999998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2.8666999999999998E-3</v>
      </c>
      <c r="D45" s="12"/>
    </row>
    <row r="46" spans="1:5" ht="15.75" customHeight="1" x14ac:dyDescent="0.25">
      <c r="B46" s="11" t="s">
        <v>52</v>
      </c>
      <c r="C46" s="45">
        <v>8.5725700000000002E-2</v>
      </c>
      <c r="D46" s="12"/>
    </row>
    <row r="47" spans="1:5" ht="15.75" customHeight="1" x14ac:dyDescent="0.25">
      <c r="B47" s="11" t="s">
        <v>53</v>
      </c>
      <c r="C47" s="45">
        <v>0.142427</v>
      </c>
      <c r="D47" s="12"/>
      <c r="E47" s="13"/>
    </row>
    <row r="48" spans="1:5" ht="15" customHeight="1" x14ac:dyDescent="0.25">
      <c r="B48" s="11" t="s">
        <v>54</v>
      </c>
      <c r="C48" s="46">
        <v>0.76898060000000001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0.52655600000000002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0.17138204999999901</v>
      </c>
    </row>
    <row r="63" spans="1:4" ht="15.75" customHeight="1" x14ac:dyDescent="0.3">
      <c r="A63" s="4"/>
    </row>
  </sheetData>
  <sheetProtection algorithmName="SHA-512" hashValue="AG//3u3KtqwjXLROPQOGKjrNpSf/hQ8KBgqb4oZ5UD+7EQDtDZMMoRlONW1rWpB5HGd35VQW6H3BbrbR63Ltbw==" saltValue="Dn7GL5OOUeJCmzf3TQmqe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0.12896826852924601</v>
      </c>
      <c r="C2" s="98">
        <v>0.95</v>
      </c>
      <c r="D2" s="56">
        <v>34.15932823545198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44.619845118003099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40.174226962967943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0.1136517268898348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14.144906987123459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14.144906987123459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14.144906987123459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14.144906987123459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14.144906987123459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14.144906987123459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0.22534429932915701</v>
      </c>
      <c r="C16" s="98">
        <v>0.95</v>
      </c>
      <c r="D16" s="56">
        <v>0.201186158790533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0.78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1.0387950708930269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1.0387950708930269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0.25878250000000003</v>
      </c>
      <c r="C21" s="98">
        <v>0.95</v>
      </c>
      <c r="D21" s="56">
        <v>0.97794835932458724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24.087514764837451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6.7092978999999994E-3</v>
      </c>
      <c r="C23" s="98">
        <v>0.95</v>
      </c>
      <c r="D23" s="56">
        <v>4.6309332646724153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0.22660652826321701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0.13544493988900899</v>
      </c>
      <c r="C27" s="98">
        <v>0.95</v>
      </c>
      <c r="D27" s="56">
        <v>20.45240587972765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0.18662529999999999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59.16814995082278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1.37E-2</v>
      </c>
      <c r="C31" s="98">
        <v>0.95</v>
      </c>
      <c r="D31" s="56">
        <v>0.82917296352271452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0.45399879999999998</v>
      </c>
      <c r="C32" s="98">
        <v>0.95</v>
      </c>
      <c r="D32" s="56">
        <v>0.36881327727825219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0.105067603950822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0.96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0.106188</v>
      </c>
      <c r="C38" s="98">
        <v>0.95</v>
      </c>
      <c r="D38" s="56">
        <v>5.7015504682514626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0.2469239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DBCrZLbgbseTvy3R2d0LTjgfKsG/b49fo/klpKiwuTE5xQiJ0EvvCXNt8KP9FGBrgwGLVaQBKGHlu2VxXsrXdQ==" saltValue="xZr6X5DX5wMQhi+mUhlPL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w2p+yn4JqHN4rIUmzW0WmLrQQtb2O8PXcGHHEzwNfOXLCvOh6/qIwL/SDvkzLCWg9TqT62JRIQgkgnc5g+EDeQ==" saltValue="PAmOi03U+U0uO4jh+B0un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I6Jv01BwAp5WH9SE/rFtCnFxYJCrgCeM/v8IIcSuYNZjFAGBfFSirEt05MWtsmMrhSpTLjDs03+jR++vOcOZ0g==" saltValue="Qog2IuM+0Zpf5I8RWmJue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0.12437267960000001</v>
      </c>
      <c r="C3" s="21">
        <f>frac_mam_1_5months * 2.6</f>
        <v>0.12437267960000001</v>
      </c>
      <c r="D3" s="21">
        <f>frac_mam_6_11months * 2.6</f>
        <v>0.16630043559999999</v>
      </c>
      <c r="E3" s="21">
        <f>frac_mam_12_23months * 2.6</f>
        <v>0.17594053100000001</v>
      </c>
      <c r="F3" s="21">
        <f>frac_mam_24_59months * 2.6</f>
        <v>0.12925738540000001</v>
      </c>
    </row>
    <row r="4" spans="1:6" ht="15.75" customHeight="1" x14ac:dyDescent="0.25">
      <c r="A4" s="3" t="s">
        <v>208</v>
      </c>
      <c r="B4" s="21">
        <f>frac_sam_1month * 2.6</f>
        <v>4.3218913400000003E-2</v>
      </c>
      <c r="C4" s="21">
        <f>frac_sam_1_5months * 2.6</f>
        <v>4.3218913400000003E-2</v>
      </c>
      <c r="D4" s="21">
        <f>frac_sam_6_11months * 2.6</f>
        <v>3.7957262200000001E-2</v>
      </c>
      <c r="E4" s="21">
        <f>frac_sam_12_23months * 2.6</f>
        <v>3.8006124000000002E-2</v>
      </c>
      <c r="F4" s="21">
        <f>frac_sam_24_59months * 2.6</f>
        <v>1.4887087280000003E-2</v>
      </c>
    </row>
  </sheetData>
  <sheetProtection algorithmName="SHA-512" hashValue="b35nX86lMcmTWbxuYLkjHRIQPLUXaTF5tozYp3ZV73UnbttInT+aCYASdrYru5J8hhOGiwYjWGRkEzvRybBexA==" saltValue="k+frkawy37ARANy+UgTL4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0.77599999999999991</v>
      </c>
      <c r="E2" s="60">
        <f>food_insecure</f>
        <v>0.77599999999999991</v>
      </c>
      <c r="F2" s="60">
        <f>food_insecure</f>
        <v>0.77599999999999991</v>
      </c>
      <c r="G2" s="60">
        <f>food_insecure</f>
        <v>0.77599999999999991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0.77599999999999991</v>
      </c>
      <c r="F5" s="60">
        <f>food_insecure</f>
        <v>0.77599999999999991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0.77599999999999991</v>
      </c>
      <c r="F8" s="60">
        <f>food_insecure</f>
        <v>0.77599999999999991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0.77599999999999991</v>
      </c>
      <c r="F9" s="60">
        <f>food_insecure</f>
        <v>0.77599999999999991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0.40500000000000003</v>
      </c>
      <c r="E10" s="60">
        <f>IF(ISBLANK(comm_deliv), frac_children_health_facility,1)</f>
        <v>0.40500000000000003</v>
      </c>
      <c r="F10" s="60">
        <f>IF(ISBLANK(comm_deliv), frac_children_health_facility,1)</f>
        <v>0.40500000000000003</v>
      </c>
      <c r="G10" s="60">
        <f>IF(ISBLANK(comm_deliv), frac_children_health_facility,1)</f>
        <v>0.40500000000000003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0.77599999999999991</v>
      </c>
      <c r="I15" s="60">
        <f>food_insecure</f>
        <v>0.77599999999999991</v>
      </c>
      <c r="J15" s="60">
        <f>food_insecure</f>
        <v>0.77599999999999991</v>
      </c>
      <c r="K15" s="60">
        <f>food_insecure</f>
        <v>0.77599999999999991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0.51100000000000001</v>
      </c>
      <c r="I18" s="60">
        <f>frac_PW_health_facility</f>
        <v>0.51100000000000001</v>
      </c>
      <c r="J18" s="60">
        <f>frac_PW_health_facility</f>
        <v>0.51100000000000001</v>
      </c>
      <c r="K18" s="60">
        <f>frac_PW_health_facility</f>
        <v>0.51100000000000001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0.6</v>
      </c>
      <c r="I19" s="60">
        <f>frac_malaria_risk</f>
        <v>0.6</v>
      </c>
      <c r="J19" s="60">
        <f>frac_malaria_risk</f>
        <v>0.6</v>
      </c>
      <c r="K19" s="60">
        <f>frac_malaria_risk</f>
        <v>0.6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0.504</v>
      </c>
      <c r="M24" s="60">
        <f>famplan_unmet_need</f>
        <v>0.504</v>
      </c>
      <c r="N24" s="60">
        <f>famplan_unmet_need</f>
        <v>0.504</v>
      </c>
      <c r="O24" s="60">
        <f>famplan_unmet_need</f>
        <v>0.504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0.45519376607971179</v>
      </c>
      <c r="M25" s="60">
        <f>(1-food_insecure)*(0.49)+food_insecure*(0.7)</f>
        <v>0.65295999999999998</v>
      </c>
      <c r="N25" s="60">
        <f>(1-food_insecure)*(0.49)+food_insecure*(0.7)</f>
        <v>0.65295999999999998</v>
      </c>
      <c r="O25" s="60">
        <f>(1-food_insecure)*(0.49)+food_insecure*(0.7)</f>
        <v>0.65295999999999998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0.19508304260559076</v>
      </c>
      <c r="M26" s="60">
        <f>(1-food_insecure)*(0.21)+food_insecure*(0.3)</f>
        <v>0.27983999999999998</v>
      </c>
      <c r="N26" s="60">
        <f>(1-food_insecure)*(0.21)+food_insecure*(0.3)</f>
        <v>0.27983999999999998</v>
      </c>
      <c r="O26" s="60">
        <f>(1-food_insecure)*(0.21)+food_insecure*(0.3)</f>
        <v>0.27983999999999998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4.6846699768066415E-2</v>
      </c>
      <c r="M27" s="60">
        <f>(1-food_insecure)*(0.3)</f>
        <v>6.7200000000000024E-2</v>
      </c>
      <c r="N27" s="60">
        <f>(1-food_insecure)*(0.3)</f>
        <v>6.7200000000000024E-2</v>
      </c>
      <c r="O27" s="60">
        <f>(1-food_insecure)*(0.3)</f>
        <v>6.7200000000000024E-2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0.30287649154663099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0.6</v>
      </c>
      <c r="D34" s="60">
        <f t="shared" si="3"/>
        <v>0.6</v>
      </c>
      <c r="E34" s="60">
        <f t="shared" si="3"/>
        <v>0.6</v>
      </c>
      <c r="F34" s="60">
        <f t="shared" si="3"/>
        <v>0.6</v>
      </c>
      <c r="G34" s="60">
        <f t="shared" si="3"/>
        <v>0.6</v>
      </c>
      <c r="H34" s="60">
        <f t="shared" si="3"/>
        <v>0.6</v>
      </c>
      <c r="I34" s="60">
        <f t="shared" si="3"/>
        <v>0.6</v>
      </c>
      <c r="J34" s="60">
        <f t="shared" si="3"/>
        <v>0.6</v>
      </c>
      <c r="K34" s="60">
        <f t="shared" si="3"/>
        <v>0.6</v>
      </c>
      <c r="L34" s="60">
        <f t="shared" si="3"/>
        <v>0.6</v>
      </c>
      <c r="M34" s="60">
        <f t="shared" si="3"/>
        <v>0.6</v>
      </c>
      <c r="N34" s="60">
        <f t="shared" si="3"/>
        <v>0.6</v>
      </c>
      <c r="O34" s="60">
        <f t="shared" si="3"/>
        <v>0.6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5hEl8ryWmhOIdONyux+uktYJTRvxe/JUdry3QwLNljxKCS7mLQC2wUuLwtf879euMP5me/4fE/8jMgQ6D9/Pog==" saltValue="Ntj2gM0h0QDqmndpfVSm2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SgxQVfXk4/+1xnxOpIwCSkr9rMbplkxZDbDO+mEB7Q5r62vYkKJwSoOoPhMcTs4F0Eb3KIcYZjzNfMYxxRsSlg==" saltValue="wWw7T02xWYg1zAkfAtVkq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vU9ov3J5zsxd2GCObuH4OtErwbRCsnhCJt5ZQ3DoIGmGfMkTBHbpfwXix705bV/zEPPPtdRY59hOzAN9nyqeoQ==" saltValue="8ZD3bf4HRM6sG2Ei1NcPu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gc9BS3oJqKFEkfufjhItiMLnIgQHvn7FYqcqvgu7DnMmxgQJNvzAvpmwur45kOdFmI7oyxsUEYkj2QJIhjJNyQ==" saltValue="lIGVDue9OJ1j45qoOijOv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83EPjsTSH+X5YTw60e69qBlb0ZTwFrsk9YgI3MvN/akKG+07cCLVs8cKrwULFblvhdT8DjRQwLHlC9b7hOmoCg==" saltValue="8/sq6O+UTXHqrxIPGEpq6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G/9qxaAwjp7fzKCyEbEA1QsgO2/JSssLWyKMM3Mh5f1ElnxfOBqKKt0lkuIknS3K0L/M557usJuDRYR9z6pZpA==" saltValue="rS5wh+PWTuD5M8EGTYU3b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904009.33719999995</v>
      </c>
      <c r="C2" s="49">
        <v>1531000</v>
      </c>
      <c r="D2" s="49">
        <v>2534000</v>
      </c>
      <c r="E2" s="49">
        <v>1744000</v>
      </c>
      <c r="F2" s="49">
        <v>1240000</v>
      </c>
      <c r="G2" s="17">
        <f t="shared" ref="G2:G11" si="0">C2+D2+E2+F2</f>
        <v>7049000</v>
      </c>
      <c r="H2" s="17">
        <f t="shared" ref="H2:H11" si="1">(B2 + stillbirth*B2/(1000-stillbirth))/(1-abortion)</f>
        <v>1044491.5656309455</v>
      </c>
      <c r="I2" s="17">
        <f t="shared" ref="I2:I11" si="2">G2-H2</f>
        <v>6004508.4343690546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918586.54500000004</v>
      </c>
      <c r="C3" s="50">
        <v>1560000</v>
      </c>
      <c r="D3" s="50">
        <v>2610000</v>
      </c>
      <c r="E3" s="50">
        <v>1803000</v>
      </c>
      <c r="F3" s="50">
        <v>1279000</v>
      </c>
      <c r="G3" s="17">
        <f t="shared" si="0"/>
        <v>7252000</v>
      </c>
      <c r="H3" s="17">
        <f t="shared" si="1"/>
        <v>1061334.0582590732</v>
      </c>
      <c r="I3" s="17">
        <f t="shared" si="2"/>
        <v>6190665.9417409264</v>
      </c>
    </row>
    <row r="4" spans="1:9" ht="15.75" customHeight="1" x14ac:dyDescent="0.25">
      <c r="A4" s="5">
        <f t="shared" si="3"/>
        <v>2023</v>
      </c>
      <c r="B4" s="49">
        <v>933125.54679999989</v>
      </c>
      <c r="C4" s="50">
        <v>1589000</v>
      </c>
      <c r="D4" s="50">
        <v>2684000</v>
      </c>
      <c r="E4" s="50">
        <v>1868000</v>
      </c>
      <c r="F4" s="50">
        <v>1320000</v>
      </c>
      <c r="G4" s="17">
        <f t="shared" si="0"/>
        <v>7461000</v>
      </c>
      <c r="H4" s="17">
        <f t="shared" si="1"/>
        <v>1078132.4077095648</v>
      </c>
      <c r="I4" s="17">
        <f t="shared" si="2"/>
        <v>6382867.592290435</v>
      </c>
    </row>
    <row r="5" spans="1:9" ht="15.75" customHeight="1" x14ac:dyDescent="0.25">
      <c r="A5" s="5">
        <f t="shared" si="3"/>
        <v>2024</v>
      </c>
      <c r="B5" s="49">
        <v>947551.33339999989</v>
      </c>
      <c r="C5" s="50">
        <v>1618000</v>
      </c>
      <c r="D5" s="50">
        <v>2755000</v>
      </c>
      <c r="E5" s="50">
        <v>1937000</v>
      </c>
      <c r="F5" s="50">
        <v>1360000</v>
      </c>
      <c r="G5" s="17">
        <f t="shared" si="0"/>
        <v>7670000</v>
      </c>
      <c r="H5" s="17">
        <f t="shared" si="1"/>
        <v>1094799.9484209928</v>
      </c>
      <c r="I5" s="17">
        <f t="shared" si="2"/>
        <v>6575200.0515790069</v>
      </c>
    </row>
    <row r="6" spans="1:9" ht="15.75" customHeight="1" x14ac:dyDescent="0.25">
      <c r="A6" s="5">
        <f t="shared" si="3"/>
        <v>2025</v>
      </c>
      <c r="B6" s="49">
        <v>961852.5</v>
      </c>
      <c r="C6" s="50">
        <v>1646000</v>
      </c>
      <c r="D6" s="50">
        <v>2822000</v>
      </c>
      <c r="E6" s="50">
        <v>2009000</v>
      </c>
      <c r="F6" s="50">
        <v>1402000</v>
      </c>
      <c r="G6" s="17">
        <f t="shared" si="0"/>
        <v>7879000</v>
      </c>
      <c r="H6" s="17">
        <f t="shared" si="1"/>
        <v>1111323.5032978142</v>
      </c>
      <c r="I6" s="17">
        <f t="shared" si="2"/>
        <v>6767676.4967021858</v>
      </c>
    </row>
    <row r="7" spans="1:9" ht="15.75" customHeight="1" x14ac:dyDescent="0.25">
      <c r="A7" s="5">
        <f t="shared" si="3"/>
        <v>2026</v>
      </c>
      <c r="B7" s="49">
        <v>974579.23080000002</v>
      </c>
      <c r="C7" s="50">
        <v>1674000</v>
      </c>
      <c r="D7" s="50">
        <v>2886000</v>
      </c>
      <c r="E7" s="50">
        <v>2085000</v>
      </c>
      <c r="F7" s="50">
        <v>1444000</v>
      </c>
      <c r="G7" s="17">
        <f t="shared" si="0"/>
        <v>8089000</v>
      </c>
      <c r="H7" s="17">
        <f t="shared" si="1"/>
        <v>1126027.9564839152</v>
      </c>
      <c r="I7" s="17">
        <f t="shared" si="2"/>
        <v>6962972.0435160846</v>
      </c>
    </row>
    <row r="8" spans="1:9" ht="15.75" customHeight="1" x14ac:dyDescent="0.25">
      <c r="A8" s="5">
        <f t="shared" si="3"/>
        <v>2027</v>
      </c>
      <c r="B8" s="49">
        <v>987058.71940000006</v>
      </c>
      <c r="C8" s="50">
        <v>1701000</v>
      </c>
      <c r="D8" s="50">
        <v>2948000</v>
      </c>
      <c r="E8" s="50">
        <v>2166000</v>
      </c>
      <c r="F8" s="50">
        <v>1488000</v>
      </c>
      <c r="G8" s="17">
        <f t="shared" si="0"/>
        <v>8303000</v>
      </c>
      <c r="H8" s="17">
        <f t="shared" si="1"/>
        <v>1140446.7462571051</v>
      </c>
      <c r="I8" s="17">
        <f t="shared" si="2"/>
        <v>7162553.2537428951</v>
      </c>
    </row>
    <row r="9" spans="1:9" ht="15.75" customHeight="1" x14ac:dyDescent="0.25">
      <c r="A9" s="5">
        <f t="shared" si="3"/>
        <v>2028</v>
      </c>
      <c r="B9" s="49">
        <v>999279.07260000019</v>
      </c>
      <c r="C9" s="50">
        <v>1728000</v>
      </c>
      <c r="D9" s="50">
        <v>3006000</v>
      </c>
      <c r="E9" s="50">
        <v>2248000</v>
      </c>
      <c r="F9" s="50">
        <v>1533000</v>
      </c>
      <c r="G9" s="17">
        <f t="shared" si="0"/>
        <v>8515000</v>
      </c>
      <c r="H9" s="17">
        <f t="shared" si="1"/>
        <v>1154566.1312249259</v>
      </c>
      <c r="I9" s="17">
        <f t="shared" si="2"/>
        <v>7360433.8687750744</v>
      </c>
    </row>
    <row r="10" spans="1:9" ht="15.75" customHeight="1" x14ac:dyDescent="0.25">
      <c r="A10" s="5">
        <f t="shared" si="3"/>
        <v>2029</v>
      </c>
      <c r="B10" s="49">
        <v>1011141.117</v>
      </c>
      <c r="C10" s="50">
        <v>1758000</v>
      </c>
      <c r="D10" s="50">
        <v>3063000</v>
      </c>
      <c r="E10" s="50">
        <v>2331000</v>
      </c>
      <c r="F10" s="50">
        <v>1582000</v>
      </c>
      <c r="G10" s="17">
        <f t="shared" si="0"/>
        <v>8734000</v>
      </c>
      <c r="H10" s="17">
        <f t="shared" si="1"/>
        <v>1168271.526531256</v>
      </c>
      <c r="I10" s="17">
        <f t="shared" si="2"/>
        <v>7565728.4734687442</v>
      </c>
    </row>
    <row r="11" spans="1:9" ht="15.75" customHeight="1" x14ac:dyDescent="0.25">
      <c r="A11" s="5">
        <f t="shared" si="3"/>
        <v>2030</v>
      </c>
      <c r="B11" s="49">
        <v>1022664.936</v>
      </c>
      <c r="C11" s="50">
        <v>1792000</v>
      </c>
      <c r="D11" s="50">
        <v>3119000</v>
      </c>
      <c r="E11" s="50">
        <v>2411000</v>
      </c>
      <c r="F11" s="50">
        <v>1634000</v>
      </c>
      <c r="G11" s="17">
        <f t="shared" si="0"/>
        <v>8956000</v>
      </c>
      <c r="H11" s="17">
        <f t="shared" si="1"/>
        <v>1181586.1365181822</v>
      </c>
      <c r="I11" s="17">
        <f t="shared" si="2"/>
        <v>7774413.8634818178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NoDtK4dPS+flwCW2dKO8Ek3xZlF7rIm5EWLaPZekTS+QxqGTVL5Fs6kAjO1bRp4kTFs1qk3IPI1nRkUhF8H8pg==" saltValue="dFz9UjW//spQqcqKcGE77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3.1481214102877373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3.1481214102877373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2.0256387714898794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2.0256387714898794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2.4192945032258266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2.4192945032258266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1.6776541883058134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1.6776541883058134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3.9536669391456383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3.9536669391456383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2.4102533107985842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2.4102533107985842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S+DZ2cU8vYZr/9IpZtrg80Zjn4ifOwrigyTHBrMpKKqwtRzhY9pVgd7VUGJgizW1y3HW3bUkGvFNxHQcfRod0A==" saltValue="nV3uXzDG+XhFvvjD2eJW5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K1imyc5Ilu4G9uGMdzA3YBCLhmyi+yTw/ppwVFnOYiv0n9vWLuJSFm4WBuuqiBlhAvzSIW0U4DmSjN0Eo9vMEA==" saltValue="ahALjZqEs9WTBSzJwt7/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5SCqOK7+zGxjXEThPczNZkyhisZzA5qTaA8fg96SbUrfJtkmGt5YcgOCp4pQkRIyF786hrqgVH3YRXP1eyuYiw==" saltValue="drRaM2LUsgtfPXPj5mQVN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0.55263580434667126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0.55263580434667126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0.83594926784348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0.83594926784348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0.83594926784348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0.83594926784348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0.35315491489718026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0.35315491489718026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0.7974711148255933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0.7974711148255933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0.7974711148255933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0.7974711148255933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0.88877699107142805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0.88877699107142805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0.87540268872741356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0.87540268872741356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0.87540268872741356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0.87540268872741356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WmbNbr52eb9Vrb1ir8gZNqh1HJbYQyzE7zNhR33H7pcX63Xzo7WtyqIYuW+7FwTjqSkIVcDERLxYIQRTtWSsIA==" saltValue="1Q4kGW99sN/VL3aeGX1OW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yf6lPy74T6fJpRcdKeWZfhv7fDIbGrtyGRaU68OCV0jS0tMipLQ19/VTzi7Aye4nC3Sply+/SyUz/YSIMd/Xuw==" saltValue="Wi+W3xfQrI5F+1GrS8yJO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0.37066328975186308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0.59168843386316694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0.59168843386316694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0.62349397590361455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0.62349397590361455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0.62349397590361455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0.62349397590361455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0.61832061068702271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0.61832061068702271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0.61832061068702271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0.61832061068702271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0.47812906598879201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0.69270210590969139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0.69270210590969139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0.7203579418344519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0.7203579418344519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0.7203579418344519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0.7203579418344519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0.71590909090909094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0.71590909090909094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0.71590909090909094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0.71590909090909094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0.21190320858381337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0.39815243079353146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0.39815243079353146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0.43052391799544421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0.43052391799544421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0.43052391799544421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0.43052391799544421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0.4251437140714821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0.4251437140714821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0.4251437140714821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0.4251437140714821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0.34829638168637028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0.56802210770036288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0.56802210770036288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0.60042621204049018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0.60042621204049018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0.60042621204049018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0.60042621204049018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0.59514170040485836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0.59514170040485836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0.59514170040485836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0.59514170040485836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0.88103465540853487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0.94797416155111525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0.94797416155111525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0.95417608602676107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0.95417608602676107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0.95417608602676107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0.95417608602676107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0.95320542817033227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0.95320542817033227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0.95320542817033227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0.95320542817033227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0.72482302358198103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0.86632343165978343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0.86632343165978343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0.88103735427075913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0.88103735427075913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0.88103735427075913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0.88103735427075913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0.87871437234687699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0.87871437234687699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0.87871437234687699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0.87871437234687699</v>
      </c>
    </row>
  </sheetData>
  <sheetProtection algorithmName="SHA-512" hashValue="J9iKyKVO+3DOWAeEXsmLKCyu5cFZXsID/Wslsdsu1vZ8TJVOru6GUkIb8+k9XHNY9uiiqKK0YcgGkGjDVO4vEw==" saltValue="gD5yoYmZdwqSiVWstV4YN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0.85796960639149267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0.85821993793388651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0.85821761731425439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0.85930720187298815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0.85399348841018963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0.85185074392116755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0.85134915810431433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0.85374704776013133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0.77217264575234346</v>
      </c>
      <c r="E10" s="90">
        <f>E3*0.9</f>
        <v>0.77239794414049789</v>
      </c>
      <c r="F10" s="90">
        <f>F3*0.9</f>
        <v>0.77239585558282897</v>
      </c>
      <c r="G10" s="90">
        <f>G3*0.9</f>
        <v>0.7733764816856894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0.76859413956917066</v>
      </c>
      <c r="E12" s="90">
        <f>E5*0.9</f>
        <v>0.7666656695290508</v>
      </c>
      <c r="F12" s="90">
        <f>F5*0.9</f>
        <v>0.76621424229388291</v>
      </c>
      <c r="G12" s="90">
        <f>G5*0.9</f>
        <v>0.76837234298411816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0.90086808671106733</v>
      </c>
      <c r="E17" s="90">
        <f>E3*1.05</f>
        <v>0.90113093483058082</v>
      </c>
      <c r="F17" s="90">
        <f>F3*1.05</f>
        <v>0.9011284981799671</v>
      </c>
      <c r="G17" s="90">
        <f>G3*1.05</f>
        <v>0.90227256196663763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0.89669316283069911</v>
      </c>
      <c r="E19" s="90">
        <f>E5*1.05</f>
        <v>0.89444328111722593</v>
      </c>
      <c r="F19" s="90">
        <f>F5*1.05</f>
        <v>0.8939166160095301</v>
      </c>
      <c r="G19" s="90">
        <f>G5*1.05</f>
        <v>0.89643440014813791</v>
      </c>
    </row>
  </sheetData>
  <sheetProtection algorithmName="SHA-512" hashValue="X5dzvxmvT962tcwkm6YsKoV8+rTNHMYYegkmXnEQNKe/JDc9V7uT/hZ5WXHlj6drWTN9jIDKw3zTp/JrMQmDTw==" saltValue="DED3s9vaSlfP2wIeZK2Ul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y5rCCY6vZRF2sZ6En4/xRNUMUDAC1mZWjVaiurUc9PsuJG1I9sipF4oAgvhKeKxNDg3fQrX7gZWIw+fe7jvQSA==" saltValue="D7aRDU9GiR2kbXMaNWjLA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b2OaiB2v3zjsD2c+GxeXyL68SogWeMyY2GTyr8Kp/IzIWVJG0vW2UGxDdxSL9iAenq89ZHv8sSVPmelu7oubAQ==" saltValue="ExbhSbIoz6ELICavLLmRA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5.5445651726372504E-3</v>
      </c>
    </row>
    <row r="4" spans="1:8" ht="15.75" customHeight="1" x14ac:dyDescent="0.25">
      <c r="B4" s="19" t="s">
        <v>79</v>
      </c>
      <c r="C4" s="101">
        <v>0.14791573518178139</v>
      </c>
    </row>
    <row r="5" spans="1:8" ht="15.75" customHeight="1" x14ac:dyDescent="0.25">
      <c r="B5" s="19" t="s">
        <v>80</v>
      </c>
      <c r="C5" s="101">
        <v>7.185008661766909E-2</v>
      </c>
    </row>
    <row r="6" spans="1:8" ht="15.75" customHeight="1" x14ac:dyDescent="0.25">
      <c r="B6" s="19" t="s">
        <v>81</v>
      </c>
      <c r="C6" s="101">
        <v>0.29165077666121969</v>
      </c>
    </row>
    <row r="7" spans="1:8" ht="15.75" customHeight="1" x14ac:dyDescent="0.25">
      <c r="B7" s="19" t="s">
        <v>82</v>
      </c>
      <c r="C7" s="101">
        <v>0.27033335999854691</v>
      </c>
    </row>
    <row r="8" spans="1:8" ht="15.75" customHeight="1" x14ac:dyDescent="0.25">
      <c r="B8" s="19" t="s">
        <v>83</v>
      </c>
      <c r="C8" s="101">
        <v>6.2032413143874136E-3</v>
      </c>
    </row>
    <row r="9" spans="1:8" ht="15.75" customHeight="1" x14ac:dyDescent="0.25">
      <c r="B9" s="19" t="s">
        <v>84</v>
      </c>
      <c r="C9" s="101">
        <v>0.1286651312772705</v>
      </c>
    </row>
    <row r="10" spans="1:8" ht="15.75" customHeight="1" x14ac:dyDescent="0.25">
      <c r="B10" s="19" t="s">
        <v>85</v>
      </c>
      <c r="C10" s="101">
        <v>7.7837103776487643E-2</v>
      </c>
    </row>
    <row r="11" spans="1:8" ht="15.75" customHeight="1" x14ac:dyDescent="0.25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0.1541508820812538</v>
      </c>
      <c r="D14" s="55">
        <v>0.1541508820812538</v>
      </c>
      <c r="E14" s="55">
        <v>0.1541508820812538</v>
      </c>
      <c r="F14" s="55">
        <v>0.1541508820812538</v>
      </c>
    </row>
    <row r="15" spans="1:8" ht="15.75" customHeight="1" x14ac:dyDescent="0.25">
      <c r="B15" s="19" t="s">
        <v>88</v>
      </c>
      <c r="C15" s="101">
        <v>0.27111710933573929</v>
      </c>
      <c r="D15" s="101">
        <v>0.27111710933573929</v>
      </c>
      <c r="E15" s="101">
        <v>0.27111710933573929</v>
      </c>
      <c r="F15" s="101">
        <v>0.27111710933573929</v>
      </c>
    </row>
    <row r="16" spans="1:8" ht="15.75" customHeight="1" x14ac:dyDescent="0.25">
      <c r="B16" s="19" t="s">
        <v>89</v>
      </c>
      <c r="C16" s="101">
        <v>3.9302984464555178E-2</v>
      </c>
      <c r="D16" s="101">
        <v>3.9302984464555178E-2</v>
      </c>
      <c r="E16" s="101">
        <v>3.9302984464555178E-2</v>
      </c>
      <c r="F16" s="101">
        <v>3.9302984464555178E-2</v>
      </c>
    </row>
    <row r="17" spans="1:8" ht="15.75" customHeight="1" x14ac:dyDescent="0.25">
      <c r="B17" s="19" t="s">
        <v>90</v>
      </c>
      <c r="C17" s="101">
        <v>8.9733661407753948E-3</v>
      </c>
      <c r="D17" s="101">
        <v>8.9733661407753948E-3</v>
      </c>
      <c r="E17" s="101">
        <v>8.9733661407753948E-3</v>
      </c>
      <c r="F17" s="101">
        <v>8.9733661407753948E-3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2.594139562412141E-2</v>
      </c>
      <c r="D19" s="101">
        <v>2.594139562412141E-2</v>
      </c>
      <c r="E19" s="101">
        <v>2.594139562412141E-2</v>
      </c>
      <c r="F19" s="101">
        <v>2.594139562412141E-2</v>
      </c>
    </row>
    <row r="20" spans="1:8" ht="15.75" customHeight="1" x14ac:dyDescent="0.25">
      <c r="B20" s="19" t="s">
        <v>93</v>
      </c>
      <c r="C20" s="101">
        <v>1.1805157258694479E-2</v>
      </c>
      <c r="D20" s="101">
        <v>1.1805157258694479E-2</v>
      </c>
      <c r="E20" s="101">
        <v>1.1805157258694479E-2</v>
      </c>
      <c r="F20" s="101">
        <v>1.1805157258694479E-2</v>
      </c>
    </row>
    <row r="21" spans="1:8" ht="15.75" customHeight="1" x14ac:dyDescent="0.25">
      <c r="B21" s="19" t="s">
        <v>94</v>
      </c>
      <c r="C21" s="101">
        <v>0.15349247068284641</v>
      </c>
      <c r="D21" s="101">
        <v>0.15349247068284641</v>
      </c>
      <c r="E21" s="101">
        <v>0.15349247068284641</v>
      </c>
      <c r="F21" s="101">
        <v>0.15349247068284641</v>
      </c>
    </row>
    <row r="22" spans="1:8" ht="15.75" customHeight="1" x14ac:dyDescent="0.25">
      <c r="B22" s="19" t="s">
        <v>95</v>
      </c>
      <c r="C22" s="101">
        <v>0.3352166344120141</v>
      </c>
      <c r="D22" s="101">
        <v>0.3352166344120141</v>
      </c>
      <c r="E22" s="101">
        <v>0.3352166344120141</v>
      </c>
      <c r="F22" s="101">
        <v>0.3352166344120141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8.7985991E-2</v>
      </c>
    </row>
    <row r="27" spans="1:8" ht="15.75" customHeight="1" x14ac:dyDescent="0.25">
      <c r="B27" s="19" t="s">
        <v>102</v>
      </c>
      <c r="C27" s="101">
        <v>9.0154729999999995E-3</v>
      </c>
    </row>
    <row r="28" spans="1:8" ht="15.75" customHeight="1" x14ac:dyDescent="0.25">
      <c r="B28" s="19" t="s">
        <v>103</v>
      </c>
      <c r="C28" s="101">
        <v>0.15676572499999999</v>
      </c>
    </row>
    <row r="29" spans="1:8" ht="15.75" customHeight="1" x14ac:dyDescent="0.25">
      <c r="B29" s="19" t="s">
        <v>104</v>
      </c>
      <c r="C29" s="101">
        <v>0.168756885</v>
      </c>
    </row>
    <row r="30" spans="1:8" ht="15.75" customHeight="1" x14ac:dyDescent="0.25">
      <c r="B30" s="19" t="s">
        <v>2</v>
      </c>
      <c r="C30" s="101">
        <v>0.105851448</v>
      </c>
    </row>
    <row r="31" spans="1:8" ht="15.75" customHeight="1" x14ac:dyDescent="0.25">
      <c r="B31" s="19" t="s">
        <v>105</v>
      </c>
      <c r="C31" s="101">
        <v>0.11038854400000001</v>
      </c>
    </row>
    <row r="32" spans="1:8" ht="15.75" customHeight="1" x14ac:dyDescent="0.25">
      <c r="B32" s="19" t="s">
        <v>106</v>
      </c>
      <c r="C32" s="101">
        <v>1.8940327999999999E-2</v>
      </c>
    </row>
    <row r="33" spans="2:3" ht="15.75" customHeight="1" x14ac:dyDescent="0.25">
      <c r="B33" s="19" t="s">
        <v>107</v>
      </c>
      <c r="C33" s="101">
        <v>8.4923389999999987E-2</v>
      </c>
    </row>
    <row r="34" spans="2:3" ht="15.75" customHeight="1" x14ac:dyDescent="0.25">
      <c r="B34" s="19" t="s">
        <v>108</v>
      </c>
      <c r="C34" s="101">
        <v>0.25737221700000001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9bhzmRq4PX96rlBNItCm3ZqDwj1VWRrvmvQ9ejFy8ZzJ2kFNxi99lW213e3u4AS5cNYMn9EG1AiypbXKGa/VSA==" saltValue="T0GMLY8jgNrtIyV4cN60Z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0.41972768298930041</v>
      </c>
      <c r="D2" s="52">
        <f>IFERROR(1-_xlfn.NORM.DIST(_xlfn.NORM.INV(SUM(D4:D5), 0, 1) + 1, 0, 1, TRUE), "")</f>
        <v>0.41972768298930041</v>
      </c>
      <c r="E2" s="52">
        <f>IFERROR(1-_xlfn.NORM.DIST(_xlfn.NORM.INV(SUM(E4:E5), 0, 1) + 1, 0, 1, TRUE), "")</f>
        <v>0.311956414571818</v>
      </c>
      <c r="F2" s="52">
        <f>IFERROR(1-_xlfn.NORM.DIST(_xlfn.NORM.INV(SUM(F4:F5), 0, 1) + 1, 0, 1, TRUE), "")</f>
        <v>0.18411414033991591</v>
      </c>
      <c r="G2" s="52">
        <f>IFERROR(1-_xlfn.NORM.DIST(_xlfn.NORM.INV(SUM(G4:G5), 0, 1) + 1, 0, 1, TRUE), "")</f>
        <v>0.1844189499143114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0.3676657880106996</v>
      </c>
      <c r="D3" s="52">
        <f>IFERROR(_xlfn.NORM.DIST(_xlfn.NORM.INV(SUM(D4:D5), 0, 1) + 1, 0, 1, TRUE) - SUM(D4:D5), "")</f>
        <v>0.3676657880106996</v>
      </c>
      <c r="E3" s="52">
        <f>IFERROR(_xlfn.NORM.DIST(_xlfn.NORM.INV(SUM(E4:E5), 0, 1) + 1, 0, 1, TRUE) - SUM(E4:E5), "")</f>
        <v>0.38290840242818203</v>
      </c>
      <c r="F3" s="52">
        <f>IFERROR(_xlfn.NORM.DIST(_xlfn.NORM.INV(SUM(F4:F5), 0, 1) + 1, 0, 1, TRUE) - SUM(F4:F5), "")</f>
        <v>0.35579426966008409</v>
      </c>
      <c r="G3" s="52">
        <f>IFERROR(_xlfn.NORM.DIST(_xlfn.NORM.INV(SUM(G4:G5), 0, 1) + 1, 0, 1, TRUE) - SUM(G4:G5), "")</f>
        <v>0.35594383008568858</v>
      </c>
    </row>
    <row r="4" spans="1:15" ht="15.75" customHeight="1" x14ac:dyDescent="0.25">
      <c r="B4" s="5" t="s">
        <v>114</v>
      </c>
      <c r="C4" s="45">
        <v>0.13490774</v>
      </c>
      <c r="D4" s="53">
        <v>0.13490774</v>
      </c>
      <c r="E4" s="53">
        <v>0.22570744000000001</v>
      </c>
      <c r="F4" s="53">
        <v>0.28417059</v>
      </c>
      <c r="G4" s="53">
        <v>0.30031658</v>
      </c>
    </row>
    <row r="5" spans="1:15" ht="15.75" customHeight="1" x14ac:dyDescent="0.25">
      <c r="B5" s="5" t="s">
        <v>115</v>
      </c>
      <c r="C5" s="45">
        <v>7.7698789000000004E-2</v>
      </c>
      <c r="D5" s="53">
        <v>7.7698789000000004E-2</v>
      </c>
      <c r="E5" s="53">
        <v>7.9427742999999995E-2</v>
      </c>
      <c r="F5" s="53">
        <v>0.17592099999999999</v>
      </c>
      <c r="G5" s="53">
        <v>0.15932064000000001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0.6979062141802127</v>
      </c>
      <c r="D8" s="52">
        <f>IFERROR(1-_xlfn.NORM.DIST(_xlfn.NORM.INV(SUM(D10:D11), 0, 1) + 1, 0, 1, TRUE), "")</f>
        <v>0.6979062141802127</v>
      </c>
      <c r="E8" s="52">
        <f>IFERROR(1-_xlfn.NORM.DIST(_xlfn.NORM.INV(SUM(E10:E11), 0, 1) + 1, 0, 1, TRUE), "")</f>
        <v>0.66086312706664463</v>
      </c>
      <c r="F8" s="52">
        <f>IFERROR(1-_xlfn.NORM.DIST(_xlfn.NORM.INV(SUM(F10:F11), 0, 1) + 1, 0, 1, TRUE), "")</f>
        <v>0.65167636478827773</v>
      </c>
      <c r="G8" s="52">
        <f>IFERROR(1-_xlfn.NORM.DIST(_xlfn.NORM.INV(SUM(G10:G11), 0, 1) + 1, 0, 1, TRUE), "")</f>
        <v>0.72382707653230183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0.2376354808197873</v>
      </c>
      <c r="D9" s="52">
        <f>IFERROR(_xlfn.NORM.DIST(_xlfn.NORM.INV(SUM(D10:D11), 0, 1) + 1, 0, 1, TRUE) - SUM(D10:D11), "")</f>
        <v>0.2376354808197873</v>
      </c>
      <c r="E9" s="52">
        <f>IFERROR(_xlfn.NORM.DIST(_xlfn.NORM.INV(SUM(E10:E11), 0, 1) + 1, 0, 1, TRUE) - SUM(E10:E11), "")</f>
        <v>0.26057621993335539</v>
      </c>
      <c r="F9" s="52">
        <f>IFERROR(_xlfn.NORM.DIST(_xlfn.NORM.INV(SUM(F10:F11), 0, 1) + 1, 0, 1, TRUE) - SUM(F10:F11), "")</f>
        <v>0.26603646021172228</v>
      </c>
      <c r="G9" s="52">
        <f>IFERROR(_xlfn.NORM.DIST(_xlfn.NORM.INV(SUM(G10:G11), 0, 1) + 1, 0, 1, TRUE) - SUM(G10:G11), "")</f>
        <v>0.22073274166769824</v>
      </c>
    </row>
    <row r="10" spans="1:15" ht="15.75" customHeight="1" x14ac:dyDescent="0.25">
      <c r="B10" s="5" t="s">
        <v>119</v>
      </c>
      <c r="C10" s="45">
        <v>4.7835646000000002E-2</v>
      </c>
      <c r="D10" s="53">
        <v>4.7835646000000002E-2</v>
      </c>
      <c r="E10" s="53">
        <v>6.3961705999999993E-2</v>
      </c>
      <c r="F10" s="53">
        <v>6.7669435E-2</v>
      </c>
      <c r="G10" s="53">
        <v>4.9714379000000003E-2</v>
      </c>
    </row>
    <row r="11" spans="1:15" ht="15.75" customHeight="1" x14ac:dyDescent="0.25">
      <c r="B11" s="5" t="s">
        <v>120</v>
      </c>
      <c r="C11" s="45">
        <v>1.6622659000000001E-2</v>
      </c>
      <c r="D11" s="53">
        <v>1.6622659000000001E-2</v>
      </c>
      <c r="E11" s="53">
        <v>1.4598946999999999E-2</v>
      </c>
      <c r="F11" s="53">
        <v>1.4617740000000001E-2</v>
      </c>
      <c r="G11" s="53">
        <v>5.7258028000000006E-3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0.78465574125000004</v>
      </c>
      <c r="D14" s="54">
        <v>0.77095435153199998</v>
      </c>
      <c r="E14" s="54">
        <v>0.77095435153199998</v>
      </c>
      <c r="F14" s="54">
        <v>0.43645716483000002</v>
      </c>
      <c r="G14" s="54">
        <v>0.43645716483000002</v>
      </c>
      <c r="H14" s="45">
        <v>0.35599999999999998</v>
      </c>
      <c r="I14" s="55">
        <v>0.35599999999999998</v>
      </c>
      <c r="J14" s="55">
        <v>0.35599999999999998</v>
      </c>
      <c r="K14" s="55">
        <v>0.35599999999999998</v>
      </c>
      <c r="L14" s="45">
        <v>0.37</v>
      </c>
      <c r="M14" s="55">
        <v>0.37</v>
      </c>
      <c r="N14" s="55">
        <v>0.37</v>
      </c>
      <c r="O14" s="55">
        <v>0.37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0.41316518848963502</v>
      </c>
      <c r="D15" s="52">
        <f t="shared" si="0"/>
        <v>0.40595063952528382</v>
      </c>
      <c r="E15" s="52">
        <f t="shared" si="0"/>
        <v>0.40595063952528382</v>
      </c>
      <c r="F15" s="52">
        <f t="shared" si="0"/>
        <v>0.2298191388842255</v>
      </c>
      <c r="G15" s="52">
        <f t="shared" si="0"/>
        <v>0.2298191388842255</v>
      </c>
      <c r="H15" s="52">
        <f t="shared" si="0"/>
        <v>0.18745393599999999</v>
      </c>
      <c r="I15" s="52">
        <f t="shared" si="0"/>
        <v>0.18745393599999999</v>
      </c>
      <c r="J15" s="52">
        <f t="shared" si="0"/>
        <v>0.18745393599999999</v>
      </c>
      <c r="K15" s="52">
        <f t="shared" si="0"/>
        <v>0.18745393599999999</v>
      </c>
      <c r="L15" s="52">
        <f t="shared" si="0"/>
        <v>0.19482572000000001</v>
      </c>
      <c r="M15" s="52">
        <f t="shared" si="0"/>
        <v>0.19482572000000001</v>
      </c>
      <c r="N15" s="52">
        <f t="shared" si="0"/>
        <v>0.19482572000000001</v>
      </c>
      <c r="O15" s="52">
        <f t="shared" si="0"/>
        <v>0.19482572000000001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e6h8RvF6H3BliwrhU6MB427hXVoEzQp1UauPB8F3ACsCmwsBPvFkmjI+UjZgt0rcBJFOAr/beY2opsXFw6WvUQ==" saltValue="fLFNUAuYPAp/go4BtzLzb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0.73930709999999999</v>
      </c>
      <c r="D2" s="53">
        <v>0.45399879999999998</v>
      </c>
      <c r="E2" s="53"/>
      <c r="F2" s="53"/>
      <c r="G2" s="53"/>
    </row>
    <row r="3" spans="1:7" x14ac:dyDescent="0.25">
      <c r="B3" s="3" t="s">
        <v>130</v>
      </c>
      <c r="C3" s="53">
        <v>0.19672339999999999</v>
      </c>
      <c r="D3" s="53">
        <v>0.25663770000000002</v>
      </c>
      <c r="E3" s="53"/>
      <c r="F3" s="53"/>
      <c r="G3" s="53"/>
    </row>
    <row r="4" spans="1:7" x14ac:dyDescent="0.25">
      <c r="B4" s="3" t="s">
        <v>131</v>
      </c>
      <c r="C4" s="53">
        <v>5.3148039999999987E-2</v>
      </c>
      <c r="D4" s="53">
        <v>0.27521590000000001</v>
      </c>
      <c r="E4" s="53">
        <v>0.98674428462982211</v>
      </c>
      <c r="F4" s="53">
        <v>0.79345661401748702</v>
      </c>
      <c r="G4" s="53"/>
    </row>
    <row r="5" spans="1:7" x14ac:dyDescent="0.25">
      <c r="B5" s="3" t="s">
        <v>132</v>
      </c>
      <c r="C5" s="52">
        <v>1.082143E-2</v>
      </c>
      <c r="D5" s="52">
        <v>1.414764E-2</v>
      </c>
      <c r="E5" s="52">
        <f>1-SUM(E2:E4)</f>
        <v>1.325571537017789E-2</v>
      </c>
      <c r="F5" s="52">
        <f>1-SUM(F2:F4)</f>
        <v>0.20654338598251298</v>
      </c>
      <c r="G5" s="52">
        <f>1-SUM(G2:G4)</f>
        <v>1</v>
      </c>
    </row>
  </sheetData>
  <sheetProtection algorithmName="SHA-512" hashValue="yCujg3k0odx9e91mgoL8HsW71KdWM49rY8uoc47HXnc3g2LE+M7YG45b8QfZa5srlmC5xmHDB9WWprIjHYqDqQ==" saltValue="4NzuiSETaHykkRmITn6Cz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Bwn2vRvg51trkHTE4OBzjuyNI7ZRbH5f/qXI6i0KL3YcAOIKWU6Q4SdAtFvmPOj86iOgK2MbO4iBwJrlnn8doA==" saltValue="7vpPdibCfYk/mMuLmkPn1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IXbthyuwTPeFEPiGMmL0gBkeG6p0S0u88Sf3CroUFKRf2n6GuGL/2ug2iSJlf8LKxuKORJKDixFJYz4dLY93sA==" saltValue="HXGtKHB9kjl7onaErsE01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SomJVmPQ3chqODsdFyemO1o68lIfHe9tnTtQEpoQHaHFX45xiPoPRxwN1w8H5mn4PGEFQpLZ/CJ8I4DmY0lCIg==" saltValue="O/Cuyz/XFv0m+EpTR3FcW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reQ4QEjR3WeL+nlBALCrZf9fUVhF4b/PC1/+odmdUED1VpBNtW46rMYuZSZ8LR9d4zMJgxb4yi2RParysGpo7g==" saltValue="ozOOpsfdfBGBZWJGvXwE6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2024-03-15T03:05:52Z</dcterms:modified>
</cp:coreProperties>
</file>