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4F83B7E7-8B42-47A4-8CE5-A5C30350A65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D12" i="26"/>
  <c r="C12" i="26"/>
  <c r="C10" i="26"/>
  <c r="G5" i="26"/>
  <c r="G12" i="26" s="1"/>
  <c r="F5" i="26"/>
  <c r="F12" i="26" s="1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5" i="2" s="1"/>
  <c r="C33" i="1"/>
  <c r="C20" i="1"/>
  <c r="F19" i="26" l="1"/>
  <c r="E10" i="26"/>
  <c r="G19" i="26"/>
  <c r="A12" i="2"/>
  <c r="A36" i="2"/>
  <c r="A29" i="2"/>
  <c r="A14" i="2"/>
  <c r="A22" i="2"/>
  <c r="A30" i="2"/>
  <c r="A38" i="2"/>
  <c r="A40" i="2"/>
  <c r="D10" i="26"/>
  <c r="E19" i="26"/>
  <c r="A37" i="2"/>
  <c r="A31" i="2"/>
  <c r="F10" i="26"/>
  <c r="A20" i="2"/>
  <c r="A21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3" i="2"/>
  <c r="A28" i="2"/>
  <c r="A18" i="2"/>
  <c r="A26" i="2"/>
  <c r="A34" i="2"/>
  <c r="A39" i="2"/>
  <c r="A19" i="2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<sst xmlns="http://schemas.openxmlformats.org/spreadsheetml/2006/main" count="2092" uniqueCount="337">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</sst>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4021181.5625</v>
      </c>
    </row>
    <row r="8" spans="1:3" ht="15" customHeight="1" x14ac:dyDescent="0.25">
      <c r="B8" s="5" t="s">
        <v>19</v>
      </c>
      <c r="C8" s="44">
        <v>0.49700000000000011</v>
      </c>
    </row>
    <row r="9" spans="1:3" ht="15" customHeight="1" x14ac:dyDescent="0.25">
      <c r="B9" s="5" t="s">
        <v>20</v>
      </c>
      <c r="C9" s="45">
        <v>0.9</v>
      </c>
    </row>
    <row r="10" spans="1:3" ht="15" customHeight="1" x14ac:dyDescent="0.25">
      <c r="B10" s="5" t="s">
        <v>21</v>
      </c>
      <c r="C10" s="45">
        <v>0.26102539062500002</v>
      </c>
    </row>
    <row r="11" spans="1:3" ht="15" customHeight="1" x14ac:dyDescent="0.25">
      <c r="B11" s="5" t="s">
        <v>22</v>
      </c>
      <c r="C11" s="45">
        <v>0.38</v>
      </c>
    </row>
    <row r="12" spans="1:3" ht="15" customHeight="1" x14ac:dyDescent="0.25">
      <c r="B12" s="5" t="s">
        <v>23</v>
      </c>
      <c r="C12" s="45">
        <v>0.23</v>
      </c>
    </row>
    <row r="13" spans="1:3" ht="15" customHeight="1" x14ac:dyDescent="0.25">
      <c r="B13" s="5" t="s">
        <v>24</v>
      </c>
      <c r="C13" s="45">
        <v>0.54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0.14249999999999999</v>
      </c>
    </row>
    <row r="24" spans="1:3" ht="15" customHeight="1" x14ac:dyDescent="0.25">
      <c r="B24" s="15" t="s">
        <v>33</v>
      </c>
      <c r="C24" s="45">
        <v>0.43409999999999999</v>
      </c>
    </row>
    <row r="25" spans="1:3" ht="15" customHeight="1" x14ac:dyDescent="0.25">
      <c r="B25" s="15" t="s">
        <v>34</v>
      </c>
      <c r="C25" s="45">
        <v>0.32079999999999997</v>
      </c>
    </row>
    <row r="26" spans="1:3" ht="15" customHeight="1" x14ac:dyDescent="0.25">
      <c r="B26" s="15" t="s">
        <v>35</v>
      </c>
      <c r="C26" s="45">
        <v>0.1026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0.18043927899819601</v>
      </c>
    </row>
    <row r="30" spans="1:3" ht="14.25" customHeight="1" x14ac:dyDescent="0.25">
      <c r="B30" s="25" t="s">
        <v>38</v>
      </c>
      <c r="C30" s="99">
        <v>6.8099937209319006E-2</v>
      </c>
    </row>
    <row r="31" spans="1:3" ht="14.25" customHeight="1" x14ac:dyDescent="0.25">
      <c r="B31" s="25" t="s">
        <v>39</v>
      </c>
      <c r="C31" s="99">
        <v>0.105835766198942</v>
      </c>
    </row>
    <row r="32" spans="1:3" ht="14.25" customHeight="1" x14ac:dyDescent="0.25">
      <c r="B32" s="25" t="s">
        <v>40</v>
      </c>
      <c r="C32" s="99">
        <v>0.64562501759354407</v>
      </c>
    </row>
    <row r="33" spans="1:5" ht="13" customHeight="1" x14ac:dyDescent="0.25">
      <c r="B33" s="27" t="s">
        <v>41</v>
      </c>
      <c r="C33" s="48">
        <f>SUM(C29:C32)</f>
        <v>1.0000000000000011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32.134367036030604</v>
      </c>
    </row>
    <row r="38" spans="1:5" ht="15" customHeight="1" x14ac:dyDescent="0.25">
      <c r="B38" s="11" t="s">
        <v>45</v>
      </c>
      <c r="C38" s="43">
        <v>60.209543884433501</v>
      </c>
      <c r="D38" s="12"/>
      <c r="E38" s="13"/>
    </row>
    <row r="39" spans="1:5" ht="15" customHeight="1" x14ac:dyDescent="0.25">
      <c r="B39" s="11" t="s">
        <v>46</v>
      </c>
      <c r="C39" s="43">
        <v>94.035418306663303</v>
      </c>
      <c r="D39" s="12"/>
      <c r="E39" s="12"/>
    </row>
    <row r="40" spans="1:5" ht="15" customHeight="1" x14ac:dyDescent="0.25">
      <c r="B40" s="11" t="s">
        <v>47</v>
      </c>
      <c r="C40" s="100">
        <v>5.62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19.70362102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1.9517E-3</v>
      </c>
      <c r="D45" s="12"/>
    </row>
    <row r="46" spans="1:5" ht="15.75" customHeight="1" x14ac:dyDescent="0.25">
      <c r="B46" s="11" t="s">
        <v>52</v>
      </c>
      <c r="C46" s="45">
        <v>5.8362600000000001E-2</v>
      </c>
      <c r="D46" s="12"/>
    </row>
    <row r="47" spans="1:5" ht="15.75" customHeight="1" x14ac:dyDescent="0.25">
      <c r="B47" s="11" t="s">
        <v>53</v>
      </c>
      <c r="C47" s="45">
        <v>0.14684610000000001</v>
      </c>
      <c r="D47" s="12"/>
      <c r="E47" s="13"/>
    </row>
    <row r="48" spans="1:5" ht="15" customHeight="1" x14ac:dyDescent="0.25">
      <c r="B48" s="11" t="s">
        <v>54</v>
      </c>
      <c r="C48" s="46">
        <v>0.79283959999999998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0.40586299999999997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qjWuTm4bTdCOq/74pzVLStSgXaFuVuPURg732TgYG600HTT/9E6PYQ3gXxviQ70vGvq4q1Uv5hatD3Wu4TMAjQ==" saltValue="sl7Zua0RjY70FTXIOMXg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0.24385254048933799</v>
      </c>
      <c r="C2" s="98">
        <v>0.95</v>
      </c>
      <c r="D2" s="56">
        <v>36.571690758964152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44.673915322947977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77.994484382723172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0.1930432460298625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14.198977192068339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14.198977192068339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14.198977192068339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14.198977192068339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14.198977192068339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14.198977192068339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0.45971616477763899</v>
      </c>
      <c r="C16" s="98">
        <v>0.95</v>
      </c>
      <c r="D16" s="56">
        <v>0.25525323351447138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1.899304380682495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1.899304380682495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0.64071502690000004</v>
      </c>
      <c r="C21" s="98">
        <v>0.95</v>
      </c>
      <c r="D21" s="56">
        <v>1.901510417689166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24.209172725963409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5.0000000000000001E-3</v>
      </c>
      <c r="C23" s="98">
        <v>0.95</v>
      </c>
      <c r="D23" s="56">
        <v>4.6647271427629606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0.44418381924989597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0.246975275606649</v>
      </c>
      <c r="C27" s="98">
        <v>0.95</v>
      </c>
      <c r="D27" s="56">
        <v>20.51058971486929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0.21443380000000001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64.674005141426761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0.41820000000000002</v>
      </c>
      <c r="C31" s="98">
        <v>0.95</v>
      </c>
      <c r="D31" s="56">
        <v>2.213974651533833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0.34721740000000001</v>
      </c>
      <c r="C32" s="98">
        <v>0.95</v>
      </c>
      <c r="D32" s="56">
        <v>0.49047047831897028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0.39335420340947203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0.15360070000000001</v>
      </c>
      <c r="C38" s="98">
        <v>0.95</v>
      </c>
      <c r="D38" s="56">
        <v>3.8385823182066949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0.2174344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Xicuonvvaoc6XEjN1j7sy73Xg3Wu01vTErNgOwSYHfN+5Qaj4Q4hUEO4RO+J1dLPX+8D406+WWYY8Hs8jDBhQg==" saltValue="ynHaMZER2mydB2lQA4XN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JW30lZZTk6o6I0lV3jks8PxFLZCxfCn0HkkTWoorAquNFtW+Cr6RjYsDAj6vvl0IP4xb1fGUJmKAypSZfX8zxQ==" saltValue="5z22JBQ+l4SgtViKwINv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X9gd1JUVR17P2Qykw/FqhpqbhlRyfEyO0R0NDKxLAfC7/OHz6+nMbUh1N4NmH+uxD8rqgJnSQlflxQIIAwlOiA==" saltValue="fSCwYx+ZvDE50IdbXvJ+R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0.16189893200000002</v>
      </c>
      <c r="C3" s="21">
        <f>frac_mam_1_5months * 2.6</f>
        <v>0.16189893200000002</v>
      </c>
      <c r="D3" s="21">
        <f>frac_mam_6_11months * 2.6</f>
        <v>0.32877181999999999</v>
      </c>
      <c r="E3" s="21">
        <f>frac_mam_12_23months * 2.6</f>
        <v>0.23138389819999999</v>
      </c>
      <c r="F3" s="21">
        <f>frac_mam_24_59months * 2.6</f>
        <v>0.11112080460000001</v>
      </c>
    </row>
    <row r="4" spans="1:6" ht="15.75" customHeight="1" x14ac:dyDescent="0.25">
      <c r="A4" s="3" t="s">
        <v>208</v>
      </c>
      <c r="B4" s="21">
        <f>frac_sam_1month * 2.6</f>
        <v>8.7296996799999999E-2</v>
      </c>
      <c r="C4" s="21">
        <f>frac_sam_1_5months * 2.6</f>
        <v>8.7296996799999999E-2</v>
      </c>
      <c r="D4" s="21">
        <f>frac_sam_6_11months * 2.6</f>
        <v>9.6046150200000013E-2</v>
      </c>
      <c r="E4" s="21">
        <f>frac_sam_12_23months * 2.6</f>
        <v>0.11364282019999999</v>
      </c>
      <c r="F4" s="21">
        <f>frac_sam_24_59months * 2.6</f>
        <v>3.9877598799999997E-2</v>
      </c>
    </row>
  </sheetData>
  <sheetProtection algorithmName="SHA-512" hashValue="aJwSQZd0sj/ygMCPc9pausUBz9XRx7AjOynHOZK0VZxdge8QF9IXRN/kZnpv65233An21D8paqdkYmXI4HqYvg==" saltValue="LBUnM/GpFt8U3wvKbzfp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0.49700000000000011</v>
      </c>
      <c r="E2" s="60">
        <f>food_insecure</f>
        <v>0.49700000000000011</v>
      </c>
      <c r="F2" s="60">
        <f>food_insecure</f>
        <v>0.49700000000000011</v>
      </c>
      <c r="G2" s="60">
        <f>food_insecure</f>
        <v>0.49700000000000011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0.49700000000000011</v>
      </c>
      <c r="F5" s="60">
        <f>food_insecure</f>
        <v>0.49700000000000011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0.49700000000000011</v>
      </c>
      <c r="F8" s="60">
        <f>food_insecure</f>
        <v>0.49700000000000011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0.49700000000000011</v>
      </c>
      <c r="F9" s="60">
        <f>food_insecure</f>
        <v>0.49700000000000011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0.23</v>
      </c>
      <c r="E10" s="60">
        <f>IF(ISBLANK(comm_deliv), frac_children_health_facility,1)</f>
        <v>0.23</v>
      </c>
      <c r="F10" s="60">
        <f>IF(ISBLANK(comm_deliv), frac_children_health_facility,1)</f>
        <v>0.23</v>
      </c>
      <c r="G10" s="60">
        <f>IF(ISBLANK(comm_deliv), frac_children_health_facility,1)</f>
        <v>0.23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0.49700000000000011</v>
      </c>
      <c r="I15" s="60">
        <f>food_insecure</f>
        <v>0.49700000000000011</v>
      </c>
      <c r="J15" s="60">
        <f>food_insecure</f>
        <v>0.49700000000000011</v>
      </c>
      <c r="K15" s="60">
        <f>food_insecure</f>
        <v>0.49700000000000011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</v>
      </c>
      <c r="I18" s="60">
        <f>frac_PW_health_facility</f>
        <v>0.38</v>
      </c>
      <c r="J18" s="60">
        <f>frac_PW_health_facility</f>
        <v>0.38</v>
      </c>
      <c r="K18" s="60">
        <f>frac_PW_health_facility</f>
        <v>0.38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</v>
      </c>
      <c r="I19" s="60">
        <f>frac_malaria_risk</f>
        <v>0.9</v>
      </c>
      <c r="J19" s="60">
        <f>frac_malaria_risk</f>
        <v>0.9</v>
      </c>
      <c r="K19" s="60">
        <f>frac_malaria_risk</f>
        <v>0.9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</v>
      </c>
      <c r="M24" s="60">
        <f>famplan_unmet_need</f>
        <v>0.54</v>
      </c>
      <c r="N24" s="60">
        <f>famplan_unmet_need</f>
        <v>0.54</v>
      </c>
      <c r="O24" s="60">
        <f>famplan_unmet_need</f>
        <v>0.54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0.43922433857421878</v>
      </c>
      <c r="M25" s="60">
        <f>(1-food_insecure)*(0.49)+food_insecure*(0.7)</f>
        <v>0.59436999999999995</v>
      </c>
      <c r="N25" s="60">
        <f>(1-food_insecure)*(0.49)+food_insecure*(0.7)</f>
        <v>0.59436999999999995</v>
      </c>
      <c r="O25" s="60">
        <f>(1-food_insecure)*(0.49)+food_insecure*(0.7)</f>
        <v>0.59436999999999995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0.18823900224609377</v>
      </c>
      <c r="M26" s="60">
        <f>(1-food_insecure)*(0.21)+food_insecure*(0.3)</f>
        <v>0.25473000000000001</v>
      </c>
      <c r="N26" s="60">
        <f>(1-food_insecure)*(0.21)+food_insecure*(0.3)</f>
        <v>0.25473000000000001</v>
      </c>
      <c r="O26" s="60">
        <f>(1-food_insecure)*(0.21)+food_insecure*(0.3)</f>
        <v>0.25473000000000001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0.11151126855468747</v>
      </c>
      <c r="M27" s="60">
        <f>(1-food_insecure)*(0.3)</f>
        <v>0.15089999999999995</v>
      </c>
      <c r="N27" s="60">
        <f>(1-food_insecure)*(0.3)</f>
        <v>0.15089999999999995</v>
      </c>
      <c r="O27" s="60">
        <f>(1-food_insecure)*(0.3)</f>
        <v>0.15089999999999995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0.26102539062500002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</v>
      </c>
      <c r="D34" s="60">
        <f t="shared" si="3"/>
        <v>0.9</v>
      </c>
      <c r="E34" s="60">
        <f t="shared" si="3"/>
        <v>0.9</v>
      </c>
      <c r="F34" s="60">
        <f t="shared" si="3"/>
        <v>0.9</v>
      </c>
      <c r="G34" s="60">
        <f t="shared" si="3"/>
        <v>0.9</v>
      </c>
      <c r="H34" s="60">
        <f t="shared" si="3"/>
        <v>0.9</v>
      </c>
      <c r="I34" s="60">
        <f t="shared" si="3"/>
        <v>0.9</v>
      </c>
      <c r="J34" s="60">
        <f t="shared" si="3"/>
        <v>0.9</v>
      </c>
      <c r="K34" s="60">
        <f t="shared" si="3"/>
        <v>0.9</v>
      </c>
      <c r="L34" s="60">
        <f t="shared" si="3"/>
        <v>0.9</v>
      </c>
      <c r="M34" s="60">
        <f t="shared" si="3"/>
        <v>0.9</v>
      </c>
      <c r="N34" s="60">
        <f t="shared" si="3"/>
        <v>0.9</v>
      </c>
      <c r="O34" s="60">
        <f t="shared" si="3"/>
        <v>0.9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gVj/vDAMaQqqdvgeuGbSNORXtOfEwOBwodojxZGhgPBazU83yVngbyh6OBNls93W3PJ1LV7lQV8zm48t8W6PSQ==" saltValue="3Io/PDEqguqjETr88f/qo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Wnep0Bd+pQXIfT5k+yFkVKhu3XWMNSL1dN9ls+Qo3z81fySvQKfokzZfLXcpeQ+kpXMBaVCmUKWhcGR3haFLJw==" saltValue="qveQiGMSJRSuJTPbAQEz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3tHRrgUIAw3wRAlPSt5rYRlU7a64dlVXoPTs0dkhO9y011fIoywK5SKCfNum9ky+/XehHjlSc34pjwnoyRRcg==" saltValue="YWNKUwHAcqqjS7a/HZcF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mFteaO/676i8lVNkG08u+9lfBUETLJQKm+MfFgV6mYSBS+ODheFsysiBGFIogmLzPPccdagH0mZhPkxyOBOXA==" saltValue="H4BNV2KT1iZtz1vAwsLdR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SDsnuwRcC0G7fTWiPwZEzNplzGk1zElxsrP14JdpdFcAXBgJ43e3WoY58FmyFyJObVtC3YBTdYcEZfEoGT8hQ==" saltValue="EBqTWtDGMhG3ObarMLhKQ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l4/J8eGUfXk4VkjY98LELaLLO2ZnlO7N0/xSlRZY70T0v4PhRReKVPehMa3USASIqk5qsQPw1Zfjsubq+jWXA==" saltValue="uUgcBmZmsGFUXSxXvEOIP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838369.2324000001</v>
      </c>
      <c r="C2" s="49">
        <v>1155000</v>
      </c>
      <c r="D2" s="49">
        <v>1654000</v>
      </c>
      <c r="E2" s="49">
        <v>1113000</v>
      </c>
      <c r="F2" s="49">
        <v>782000</v>
      </c>
      <c r="G2" s="17">
        <f t="shared" ref="G2:G11" si="0">C2+D2+E2+F2</f>
        <v>4704000</v>
      </c>
      <c r="H2" s="17">
        <f t="shared" ref="H2:H11" si="1">(B2 + stillbirth*B2/(1000-stillbirth))/(1-abortion)</f>
        <v>971841.09823677258</v>
      </c>
      <c r="I2" s="17">
        <f t="shared" ref="I2:I11" si="2">G2-H2</f>
        <v>3732158.9017632273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854115.37900000007</v>
      </c>
      <c r="C3" s="50">
        <v>1201000</v>
      </c>
      <c r="D3" s="50">
        <v>1717000</v>
      </c>
      <c r="E3" s="50">
        <v>1144000</v>
      </c>
      <c r="F3" s="50">
        <v>808000</v>
      </c>
      <c r="G3" s="17">
        <f t="shared" si="0"/>
        <v>4870000</v>
      </c>
      <c r="H3" s="17">
        <f t="shared" si="1"/>
        <v>990094.09681227384</v>
      </c>
      <c r="I3" s="17">
        <f t="shared" si="2"/>
        <v>3879905.9031877262</v>
      </c>
    </row>
    <row r="4" spans="1:9" ht="15.75" customHeight="1" x14ac:dyDescent="0.25">
      <c r="A4" s="5">
        <f t="shared" si="3"/>
        <v>2023</v>
      </c>
      <c r="B4" s="49">
        <v>869957.17120000022</v>
      </c>
      <c r="C4" s="50">
        <v>1249000</v>
      </c>
      <c r="D4" s="50">
        <v>1783000</v>
      </c>
      <c r="E4" s="50">
        <v>1177000</v>
      </c>
      <c r="F4" s="50">
        <v>834000</v>
      </c>
      <c r="G4" s="17">
        <f t="shared" si="0"/>
        <v>5043000</v>
      </c>
      <c r="H4" s="17">
        <f t="shared" si="1"/>
        <v>1008457.9681647727</v>
      </c>
      <c r="I4" s="17">
        <f t="shared" si="2"/>
        <v>4034542.0318352273</v>
      </c>
    </row>
    <row r="5" spans="1:9" ht="15.75" customHeight="1" x14ac:dyDescent="0.25">
      <c r="A5" s="5">
        <f t="shared" si="3"/>
        <v>2024</v>
      </c>
      <c r="B5" s="49">
        <v>885835.21320000023</v>
      </c>
      <c r="C5" s="50">
        <v>1295000</v>
      </c>
      <c r="D5" s="50">
        <v>1855000</v>
      </c>
      <c r="E5" s="50">
        <v>1213000</v>
      </c>
      <c r="F5" s="50">
        <v>859000</v>
      </c>
      <c r="G5" s="17">
        <f t="shared" si="0"/>
        <v>5222000</v>
      </c>
      <c r="H5" s="17">
        <f t="shared" si="1"/>
        <v>1026863.8604360759</v>
      </c>
      <c r="I5" s="17">
        <f t="shared" si="2"/>
        <v>4195136.1395639237</v>
      </c>
    </row>
    <row r="6" spans="1:9" ht="15.75" customHeight="1" x14ac:dyDescent="0.25">
      <c r="A6" s="5">
        <f t="shared" si="3"/>
        <v>2025</v>
      </c>
      <c r="B6" s="49">
        <v>901807.06400000001</v>
      </c>
      <c r="C6" s="50">
        <v>1339000</v>
      </c>
      <c r="D6" s="50">
        <v>1932000</v>
      </c>
      <c r="E6" s="50">
        <v>1250000</v>
      </c>
      <c r="F6" s="50">
        <v>885000</v>
      </c>
      <c r="G6" s="17">
        <f t="shared" si="0"/>
        <v>5406000</v>
      </c>
      <c r="H6" s="17">
        <f t="shared" si="1"/>
        <v>1045378.4962581833</v>
      </c>
      <c r="I6" s="17">
        <f t="shared" si="2"/>
        <v>4360621.5037418166</v>
      </c>
    </row>
    <row r="7" spans="1:9" ht="15.75" customHeight="1" x14ac:dyDescent="0.25">
      <c r="A7" s="5">
        <f t="shared" si="3"/>
        <v>2026</v>
      </c>
      <c r="B7" s="49">
        <v>917799.07480000006</v>
      </c>
      <c r="C7" s="50">
        <v>1377000</v>
      </c>
      <c r="D7" s="50">
        <v>2012000</v>
      </c>
      <c r="E7" s="50">
        <v>1292000</v>
      </c>
      <c r="F7" s="50">
        <v>909000</v>
      </c>
      <c r="G7" s="17">
        <f t="shared" si="0"/>
        <v>5590000</v>
      </c>
      <c r="H7" s="17">
        <f t="shared" si="1"/>
        <v>1063916.5016360704</v>
      </c>
      <c r="I7" s="17">
        <f t="shared" si="2"/>
        <v>4526083.4983639298</v>
      </c>
    </row>
    <row r="8" spans="1:9" ht="15.75" customHeight="1" x14ac:dyDescent="0.25">
      <c r="A8" s="5">
        <f t="shared" si="3"/>
        <v>2027</v>
      </c>
      <c r="B8" s="49">
        <v>933844.33480000007</v>
      </c>
      <c r="C8" s="50">
        <v>1412000</v>
      </c>
      <c r="D8" s="50">
        <v>2097000</v>
      </c>
      <c r="E8" s="50">
        <v>1336000</v>
      </c>
      <c r="F8" s="50">
        <v>933000</v>
      </c>
      <c r="G8" s="17">
        <f t="shared" si="0"/>
        <v>5778000</v>
      </c>
      <c r="H8" s="17">
        <f t="shared" si="1"/>
        <v>1082516.2337078871</v>
      </c>
      <c r="I8" s="17">
        <f t="shared" si="2"/>
        <v>4695483.7662921129</v>
      </c>
    </row>
    <row r="9" spans="1:9" ht="15.75" customHeight="1" x14ac:dyDescent="0.25">
      <c r="A9" s="5">
        <f t="shared" si="3"/>
        <v>2028</v>
      </c>
      <c r="B9" s="49">
        <v>949846.79200000013</v>
      </c>
      <c r="C9" s="50">
        <v>1446000</v>
      </c>
      <c r="D9" s="50">
        <v>2185000</v>
      </c>
      <c r="E9" s="50">
        <v>1383000</v>
      </c>
      <c r="F9" s="50">
        <v>958000</v>
      </c>
      <c r="G9" s="17">
        <f t="shared" si="0"/>
        <v>5972000</v>
      </c>
      <c r="H9" s="17">
        <f t="shared" si="1"/>
        <v>1101066.3485960669</v>
      </c>
      <c r="I9" s="17">
        <f t="shared" si="2"/>
        <v>4870933.6514039328</v>
      </c>
    </row>
    <row r="10" spans="1:9" ht="15.75" customHeight="1" x14ac:dyDescent="0.25">
      <c r="A10" s="5">
        <f t="shared" si="3"/>
        <v>2029</v>
      </c>
      <c r="B10" s="49">
        <v>965750.51720000012</v>
      </c>
      <c r="C10" s="50">
        <v>1480000</v>
      </c>
      <c r="D10" s="50">
        <v>2273000</v>
      </c>
      <c r="E10" s="50">
        <v>1434000</v>
      </c>
      <c r="F10" s="50">
        <v>983000</v>
      </c>
      <c r="G10" s="17">
        <f t="shared" si="0"/>
        <v>6170000</v>
      </c>
      <c r="H10" s="17">
        <f t="shared" si="1"/>
        <v>1119502.0129395425</v>
      </c>
      <c r="I10" s="17">
        <f t="shared" si="2"/>
        <v>5050497.9870604575</v>
      </c>
    </row>
    <row r="11" spans="1:9" ht="15.75" customHeight="1" x14ac:dyDescent="0.25">
      <c r="A11" s="5">
        <f t="shared" si="3"/>
        <v>2030</v>
      </c>
      <c r="B11" s="49">
        <v>981573.84600000002</v>
      </c>
      <c r="C11" s="50">
        <v>1515000</v>
      </c>
      <c r="D11" s="50">
        <v>2360000</v>
      </c>
      <c r="E11" s="50">
        <v>1488000</v>
      </c>
      <c r="F11" s="50">
        <v>1011000</v>
      </c>
      <c r="G11" s="17">
        <f t="shared" si="0"/>
        <v>6374000</v>
      </c>
      <c r="H11" s="17">
        <f t="shared" si="1"/>
        <v>1137844.4814420321</v>
      </c>
      <c r="I11" s="17">
        <f t="shared" si="2"/>
        <v>5236155.5185579676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NCJ6qE07cnicdg6vd7Iga5vi11fJ/su1xdQubzBzvyZMqSPMqYEtnuc7hneWoIGTQdH9UZVcY8wsxPtn1QxMA==" saltValue="/7/je41euE+kuDOYVUAjs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2.4764922656852919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2.4764922656852919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1.8578660031685896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1.8578660031685896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1.9755395326849252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1.9755395326849252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1.5668043235221041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1.5668043235221041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3.0301768653172765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3.0301768653172765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2.1795657543568105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2.1795657543568105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DEyL47FHiMGf5V5sTSNT7ZbLVWX6iOy2gKNlM5EFxobiZGMLlg7AruJRfgXh+zLAngysS0C2HPY1O65ICCBoLA==" saltValue="mOlWxBzXYKg1ZVpa4M0R8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3E+kpXCJGvRKOSYonpLbjPSxmJCtr2iI4qxLy6lMIAvuSEkPkhqSGn5QPyCatIikY1/GBrepcyrLIqsV94pMA==" saltValue="F4imta2wMCtaI4EIWdk+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FCJ/fQbCj39UaOmDEV/LSsIYyVMXoqt7Vx6uptqehDZzlcUaolFXzumZJi7RrdVTeosDQ7IWFfJAXJM7ukDlQ==" saltValue="Y8swRRm9Rn7WM9Hh5RbG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0.60098356890557603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0.60098356890557603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0.86135989581014272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0.86135989581014272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0.86135989581014272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0.86135989581014272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0.39964099079291426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0.39964099079291426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0.82761274374495053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0.82761274374495053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0.82761274374495053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0.82761274374495053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0.90691603096386852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0.90691603096386852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0.89546636565432636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0.89546636565432636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0.89546636565432636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0.89546636565432636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pS2/fCWChtklZB7TL6AmOZxWnZWzEyy3nX5NGp3E8gJ/vcKxX1T2EMZZrr6E0a+iowhNYqEBCNiGjZb/m0WnyQ==" saltValue="CRepyxp5TggBO3fDdLba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gtvX2MQYtz0B325j7pwkNuH9nNxRoB9RQ20zT6CmE7EUX25t/14T7q6aSs9MRlp7MuD6o8wLnR3cXb+x9PuCvw==" saltValue="KKTxRhdAFYGNopub+XK8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0.25247189097669437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0.26941551587334706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0.26941551587334706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0.51684152401987848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0.51684152401987848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0.51684152401987848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0.51684152401987848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0.56101843722563649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0.56101843722563649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0.56101843722563649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0.56101843722563649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0.34442434892413909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0.36452971317701316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0.36452971317701316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0.62462462462462476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0.62462462462462476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0.62462462462462476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0.62462462462462476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0.66532797858099069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0.66532797858099069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0.66532797858099069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0.66532797858099069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0.13358906038577109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0.14409223803038779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0.14409223803038779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0.32811404533769573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0.32811404533769573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0.32811404533769573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0.32811404533769573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0.36846151733985005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0.36846151733985005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0.36846151733985005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0.36846151733985005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0.23457861462866644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0.2507241701102757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0.2507241701102757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0.49255751014884974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0.49255751014884974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0.49255751014884974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0.49255751014884974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0.53696558110819559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0.53696558110819559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0.53696558110819559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0.53696558110819559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0.80940753618288319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0.82259767600744138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0.82259767600744138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0.93079904041336048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0.93079904041336048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0.93079904041336048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0.93079904041336048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0.94141654787244433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0.94141654787244433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0.94141654787244433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0.94141654787244433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0.60166643447513657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0.62252875021102949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0.62252875021102949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0.82710926694329179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0.82710926694329179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0.82710926694329179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0.82710926694329179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0.85109076018166929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0.85109076018166929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0.85109076018166929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0.85109076018166929</v>
      </c>
    </row>
  </sheetData>
  <sheetProtection algorithmName="SHA-512" hashValue="jtsHexGBG1rUMFeDBRYR31Y76tbDIajYxGNxiI0bYVGlyKVHIt5WZSBkSsfN/epTjjgbkYG3njSSxw4eor0aMA==" saltValue="ZYfUW4uVQX913tmo8nkV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0.8558372782749557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0.85540638950653158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0.85453192061550576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0.85812867714738861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0.8520786356211093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0.84291767369808523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0.84839712324723282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0.85465790130126784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0.77025355044746013</v>
      </c>
      <c r="E10" s="90">
        <f>E3*0.9</f>
        <v>0.76986575055587847</v>
      </c>
      <c r="F10" s="90">
        <f>F3*0.9</f>
        <v>0.7690787285539552</v>
      </c>
      <c r="G10" s="90">
        <f>G3*0.9</f>
        <v>0.77231580943264977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0.76687077205899834</v>
      </c>
      <c r="E12" s="90">
        <f>E5*0.9</f>
        <v>0.75862590632827676</v>
      </c>
      <c r="F12" s="90">
        <f>F5*0.9</f>
        <v>0.76355741092250951</v>
      </c>
      <c r="G12" s="90">
        <f>G5*0.9</f>
        <v>0.76919211117114106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0.89862914218870349</v>
      </c>
      <c r="E17" s="90">
        <f>E3*1.05</f>
        <v>0.8981767089818582</v>
      </c>
      <c r="F17" s="90">
        <f>F3*1.05</f>
        <v>0.89725851664628109</v>
      </c>
      <c r="G17" s="90">
        <f>G3*1.05</f>
        <v>0.90103511100475808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0.89468256740216479</v>
      </c>
      <c r="E19" s="90">
        <f>E5*1.05</f>
        <v>0.88506355738298959</v>
      </c>
      <c r="F19" s="90">
        <f>F5*1.05</f>
        <v>0.89081697940959448</v>
      </c>
      <c r="G19" s="90">
        <f>G5*1.05</f>
        <v>0.89739079636633123</v>
      </c>
    </row>
  </sheetData>
  <sheetProtection algorithmName="SHA-512" hashValue="eame0aKEiq/nE5lM1m7fx58UupPppuIVxdiBIf2Pd2tw5LGpxIQJZTXSVWETFqNATY1OhDMfxscDLxwlSG4Yxw==" saltValue="nJY2GpC/v1jKbA32/32j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Jfo2qzxttKzanss05SISoZ6vOq67qceVvbvsnC92nlZwCHfRmiNexFsr4y2WUpMZeySec7i4Ui+mPc4shxpWWg==" saltValue="C+pppCvq2/JB8v50KHB2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5j2gveXC5SwCPimqgmh2INVX1ZBDA33HVW6UBh+3mzER4Nd9AlAA58kFLa3R+1+2EHgl8VZW15CUtVZcxWx+A==" saltValue="8Y7X04yGV5QoiWaERWU1D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5.8530393340034794E-3</v>
      </c>
    </row>
    <row r="4" spans="1:8" ht="15.75" customHeight="1" x14ac:dyDescent="0.25">
      <c r="B4" s="19" t="s">
        <v>79</v>
      </c>
      <c r="C4" s="101">
        <v>0.1995264297929801</v>
      </c>
    </row>
    <row r="5" spans="1:8" ht="15.75" customHeight="1" x14ac:dyDescent="0.25">
      <c r="B5" s="19" t="s">
        <v>80</v>
      </c>
      <c r="C5" s="101">
        <v>6.8556965566188718E-2</v>
      </c>
    </row>
    <row r="6" spans="1:8" ht="15.75" customHeight="1" x14ac:dyDescent="0.25">
      <c r="B6" s="19" t="s">
        <v>81</v>
      </c>
      <c r="C6" s="101">
        <v>0.27823243153076149</v>
      </c>
    </row>
    <row r="7" spans="1:8" ht="15.75" customHeight="1" x14ac:dyDescent="0.25">
      <c r="B7" s="19" t="s">
        <v>82</v>
      </c>
      <c r="C7" s="101">
        <v>0.29909216751907208</v>
      </c>
    </row>
    <row r="8" spans="1:8" ht="15.75" customHeight="1" x14ac:dyDescent="0.25">
      <c r="B8" s="19" t="s">
        <v>83</v>
      </c>
      <c r="C8" s="101">
        <v>1.150924322751198E-2</v>
      </c>
    </row>
    <row r="9" spans="1:8" ht="15.75" customHeight="1" x14ac:dyDescent="0.25">
      <c r="B9" s="19" t="s">
        <v>84</v>
      </c>
      <c r="C9" s="101">
        <v>5.4777095412005171E-2</v>
      </c>
    </row>
    <row r="10" spans="1:8" ht="15.75" customHeight="1" x14ac:dyDescent="0.25">
      <c r="B10" s="19" t="s">
        <v>85</v>
      </c>
      <c r="C10" s="101">
        <v>8.2452627617476945E-2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0.1487573604799225</v>
      </c>
      <c r="D14" s="55">
        <v>0.1487573604799225</v>
      </c>
      <c r="E14" s="55">
        <v>0.1487573604799225</v>
      </c>
      <c r="F14" s="55">
        <v>0.1487573604799225</v>
      </c>
    </row>
    <row r="15" spans="1:8" ht="15.75" customHeight="1" x14ac:dyDescent="0.25">
      <c r="B15" s="19" t="s">
        <v>88</v>
      </c>
      <c r="C15" s="101">
        <v>0.21809183239499649</v>
      </c>
      <c r="D15" s="101">
        <v>0.21809183239499649</v>
      </c>
      <c r="E15" s="101">
        <v>0.21809183239499649</v>
      </c>
      <c r="F15" s="101">
        <v>0.21809183239499649</v>
      </c>
    </row>
    <row r="16" spans="1:8" ht="15.75" customHeight="1" x14ac:dyDescent="0.25">
      <c r="B16" s="19" t="s">
        <v>89</v>
      </c>
      <c r="C16" s="101">
        <v>3.4021425616912383E-2</v>
      </c>
      <c r="D16" s="101">
        <v>3.4021425616912383E-2</v>
      </c>
      <c r="E16" s="101">
        <v>3.4021425616912383E-2</v>
      </c>
      <c r="F16" s="101">
        <v>3.4021425616912383E-2</v>
      </c>
    </row>
    <row r="17" spans="1:8" ht="15.75" customHeight="1" x14ac:dyDescent="0.25">
      <c r="B17" s="19" t="s">
        <v>90</v>
      </c>
      <c r="C17" s="101">
        <v>7.3497045094591627E-3</v>
      </c>
      <c r="D17" s="101">
        <v>7.3497045094591627E-3</v>
      </c>
      <c r="E17" s="101">
        <v>7.3497045094591627E-3</v>
      </c>
      <c r="F17" s="101">
        <v>7.3497045094591627E-3</v>
      </c>
    </row>
    <row r="18" spans="1:8" ht="15.75" customHeight="1" x14ac:dyDescent="0.25">
      <c r="B18" s="19" t="s">
        <v>91</v>
      </c>
      <c r="C18" s="101">
        <v>0.21671605120763071</v>
      </c>
      <c r="D18" s="101">
        <v>0.21671605120763071</v>
      </c>
      <c r="E18" s="101">
        <v>0.21671605120763071</v>
      </c>
      <c r="F18" s="101">
        <v>0.21671605120763071</v>
      </c>
    </row>
    <row r="19" spans="1:8" ht="15.75" customHeight="1" x14ac:dyDescent="0.25">
      <c r="B19" s="19" t="s">
        <v>92</v>
      </c>
      <c r="C19" s="101">
        <v>1.279844394155711E-2</v>
      </c>
      <c r="D19" s="101">
        <v>1.279844394155711E-2</v>
      </c>
      <c r="E19" s="101">
        <v>1.279844394155711E-2</v>
      </c>
      <c r="F19" s="101">
        <v>1.279844394155711E-2</v>
      </c>
    </row>
    <row r="20" spans="1:8" ht="15.75" customHeight="1" x14ac:dyDescent="0.25">
      <c r="B20" s="19" t="s">
        <v>93</v>
      </c>
      <c r="C20" s="101">
        <v>1.5840200931082678E-2</v>
      </c>
      <c r="D20" s="101">
        <v>1.5840200931082678E-2</v>
      </c>
      <c r="E20" s="101">
        <v>1.5840200931082678E-2</v>
      </c>
      <c r="F20" s="101">
        <v>1.5840200931082678E-2</v>
      </c>
    </row>
    <row r="21" spans="1:8" ht="15.75" customHeight="1" x14ac:dyDescent="0.25">
      <c r="B21" s="19" t="s">
        <v>94</v>
      </c>
      <c r="C21" s="101">
        <v>7.9581610162734934E-2</v>
      </c>
      <c r="D21" s="101">
        <v>7.9581610162734934E-2</v>
      </c>
      <c r="E21" s="101">
        <v>7.9581610162734934E-2</v>
      </c>
      <c r="F21" s="101">
        <v>7.9581610162734934E-2</v>
      </c>
    </row>
    <row r="22" spans="1:8" ht="15.75" customHeight="1" x14ac:dyDescent="0.25">
      <c r="B22" s="19" t="s">
        <v>95</v>
      </c>
      <c r="C22" s="101">
        <v>0.26684337075570391</v>
      </c>
      <c r="D22" s="101">
        <v>0.26684337075570391</v>
      </c>
      <c r="E22" s="101">
        <v>0.26684337075570391</v>
      </c>
      <c r="F22" s="101">
        <v>0.26684337075570391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8.8798472000000003E-2</v>
      </c>
    </row>
    <row r="27" spans="1:8" ht="15.75" customHeight="1" x14ac:dyDescent="0.25">
      <c r="B27" s="19" t="s">
        <v>102</v>
      </c>
      <c r="C27" s="101">
        <v>8.9405939999999996E-3</v>
      </c>
    </row>
    <row r="28" spans="1:8" ht="15.75" customHeight="1" x14ac:dyDescent="0.25">
      <c r="B28" s="19" t="s">
        <v>103</v>
      </c>
      <c r="C28" s="101">
        <v>0.15585153099999999</v>
      </c>
    </row>
    <row r="29" spans="1:8" ht="15.75" customHeight="1" x14ac:dyDescent="0.25">
      <c r="B29" s="19" t="s">
        <v>104</v>
      </c>
      <c r="C29" s="101">
        <v>0.170199079</v>
      </c>
    </row>
    <row r="30" spans="1:8" ht="15.75" customHeight="1" x14ac:dyDescent="0.25">
      <c r="B30" s="19" t="s">
        <v>2</v>
      </c>
      <c r="C30" s="101">
        <v>0.10628299300000001</v>
      </c>
    </row>
    <row r="31" spans="1:8" ht="15.75" customHeight="1" x14ac:dyDescent="0.25">
      <c r="B31" s="19" t="s">
        <v>105</v>
      </c>
      <c r="C31" s="101">
        <v>0.108972139</v>
      </c>
    </row>
    <row r="32" spans="1:8" ht="15.75" customHeight="1" x14ac:dyDescent="0.25">
      <c r="B32" s="19" t="s">
        <v>106</v>
      </c>
      <c r="C32" s="101">
        <v>1.8807035E-2</v>
      </c>
    </row>
    <row r="33" spans="2:3" ht="15.75" customHeight="1" x14ac:dyDescent="0.25">
      <c r="B33" s="19" t="s">
        <v>107</v>
      </c>
      <c r="C33" s="101">
        <v>8.4353397999999996E-2</v>
      </c>
    </row>
    <row r="34" spans="2:3" ht="15.75" customHeight="1" x14ac:dyDescent="0.25">
      <c r="B34" s="19" t="s">
        <v>108</v>
      </c>
      <c r="C34" s="101">
        <v>0.25779475800000001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+xLNu/EQMG0whOliTnaN9dTNwtw9fHdljr9g8Ry2MrIqN6eVc8k8zmg+/KnwGcMDw+2HJ2FvYRYnvENsbInJ4A==" saltValue="QkKnUpQEwJH8Z/b8HqP9w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0.54774053618056484</v>
      </c>
      <c r="D2" s="52">
        <f>IFERROR(1-_xlfn.NORM.DIST(_xlfn.NORM.INV(SUM(D4:D5), 0, 1) + 1, 0, 1, TRUE), "")</f>
        <v>0.54774053618056484</v>
      </c>
      <c r="E2" s="52">
        <f>IFERROR(1-_xlfn.NORM.DIST(_xlfn.NORM.INV(SUM(E4:E5), 0, 1) + 1, 0, 1, TRUE), "")</f>
        <v>0.50980008951001321</v>
      </c>
      <c r="F2" s="52">
        <f>IFERROR(1-_xlfn.NORM.DIST(_xlfn.NORM.INV(SUM(F4:F5), 0, 1) + 1, 0, 1, TRUE), "")</f>
        <v>0.31066740047111041</v>
      </c>
      <c r="G2" s="52">
        <f>IFERROR(1-_xlfn.NORM.DIST(_xlfn.NORM.INV(SUM(G4:G5), 0, 1) + 1, 0, 1, TRUE), "")</f>
        <v>0.30854993767030126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0.32089295881943514</v>
      </c>
      <c r="D3" s="52">
        <f>IFERROR(_xlfn.NORM.DIST(_xlfn.NORM.INV(SUM(D4:D5), 0, 1) + 1, 0, 1, TRUE) - SUM(D4:D5), "")</f>
        <v>0.32089295881943514</v>
      </c>
      <c r="E3" s="52">
        <f>IFERROR(_xlfn.NORM.DIST(_xlfn.NORM.INV(SUM(E4:E5), 0, 1) + 1, 0, 1, TRUE) - SUM(E4:E5), "")</f>
        <v>0.3374162934899867</v>
      </c>
      <c r="F3" s="52">
        <f>IFERROR(_xlfn.NORM.DIST(_xlfn.NORM.INV(SUM(F4:F5), 0, 1) + 1, 0, 1, TRUE) - SUM(F4:F5), "")</f>
        <v>0.38291849952888957</v>
      </c>
      <c r="G3" s="52">
        <f>IFERROR(_xlfn.NORM.DIST(_xlfn.NORM.INV(SUM(G4:G5), 0, 1) + 1, 0, 1, TRUE) - SUM(G4:G5), "")</f>
        <v>0.38292492232969877</v>
      </c>
    </row>
    <row r="4" spans="1:15" ht="15.75" customHeight="1" x14ac:dyDescent="0.25">
      <c r="B4" s="5" t="s">
        <v>114</v>
      </c>
      <c r="C4" s="45">
        <v>7.4318938000000001E-2</v>
      </c>
      <c r="D4" s="53">
        <v>7.4318938000000001E-2</v>
      </c>
      <c r="E4" s="53">
        <v>0.10114766</v>
      </c>
      <c r="F4" s="53">
        <v>0.19767487</v>
      </c>
      <c r="G4" s="53">
        <v>0.18739233</v>
      </c>
    </row>
    <row r="5" spans="1:15" ht="15.75" customHeight="1" x14ac:dyDescent="0.25">
      <c r="B5" s="5" t="s">
        <v>115</v>
      </c>
      <c r="C5" s="45">
        <v>5.7047567E-2</v>
      </c>
      <c r="D5" s="53">
        <v>5.7047567E-2</v>
      </c>
      <c r="E5" s="53">
        <v>5.1635957000000003E-2</v>
      </c>
      <c r="F5" s="53">
        <v>0.10873923000000001</v>
      </c>
      <c r="G5" s="53">
        <v>0.12113280999999999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0.62004476797922992</v>
      </c>
      <c r="D8" s="52">
        <f>IFERROR(1-_xlfn.NORM.DIST(_xlfn.NORM.INV(SUM(D10:D11), 0, 1) + 1, 0, 1, TRUE), "")</f>
        <v>0.62004476797922992</v>
      </c>
      <c r="E8" s="52">
        <f>IFERROR(1-_xlfn.NORM.DIST(_xlfn.NORM.INV(SUM(E10:E11), 0, 1) + 1, 0, 1, TRUE), "")</f>
        <v>0.49226664900561634</v>
      </c>
      <c r="F8" s="52">
        <f>IFERROR(1-_xlfn.NORM.DIST(_xlfn.NORM.INV(SUM(F10:F11), 0, 1) + 1, 0, 1, TRUE), "")</f>
        <v>0.5452647257018286</v>
      </c>
      <c r="G8" s="52">
        <f>IFERROR(1-_xlfn.NORM.DIST(_xlfn.NORM.INV(SUM(G10:G11), 0, 1) + 1, 0, 1, TRUE), "")</f>
        <v>0.71604400078478991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0.28411064402077008</v>
      </c>
      <c r="D9" s="52">
        <f>IFERROR(_xlfn.NORM.DIST(_xlfn.NORM.INV(SUM(D10:D11), 0, 1) + 1, 0, 1, TRUE) - SUM(D10:D11), "")</f>
        <v>0.28411064402077008</v>
      </c>
      <c r="E9" s="52">
        <f>IFERROR(_xlfn.NORM.DIST(_xlfn.NORM.INV(SUM(E10:E11), 0, 1) + 1, 0, 1, TRUE) - SUM(E10:E11), "")</f>
        <v>0.34434182399438362</v>
      </c>
      <c r="F9" s="52">
        <f>IFERROR(_xlfn.NORM.DIST(_xlfn.NORM.INV(SUM(F10:F11), 0, 1) + 1, 0, 1, TRUE) - SUM(F10:F11), "")</f>
        <v>0.32203269029817139</v>
      </c>
      <c r="G9" s="52">
        <f>IFERROR(_xlfn.NORM.DIST(_xlfn.NORM.INV(SUM(G10:G11), 0, 1) + 1, 0, 1, TRUE) - SUM(G10:G11), "")</f>
        <v>0.22587969021521009</v>
      </c>
    </row>
    <row r="10" spans="1:15" ht="15.75" customHeight="1" x14ac:dyDescent="0.25">
      <c r="B10" s="5" t="s">
        <v>119</v>
      </c>
      <c r="C10" s="45">
        <v>6.2268820000000003E-2</v>
      </c>
      <c r="D10" s="53">
        <v>6.2268820000000003E-2</v>
      </c>
      <c r="E10" s="53">
        <v>0.1264507</v>
      </c>
      <c r="F10" s="53">
        <v>8.8993806999999994E-2</v>
      </c>
      <c r="G10" s="53">
        <v>4.2738771000000002E-2</v>
      </c>
    </row>
    <row r="11" spans="1:15" ht="15.75" customHeight="1" x14ac:dyDescent="0.25">
      <c r="B11" s="5" t="s">
        <v>120</v>
      </c>
      <c r="C11" s="45">
        <v>3.3575767999999999E-2</v>
      </c>
      <c r="D11" s="53">
        <v>3.3575767999999999E-2</v>
      </c>
      <c r="E11" s="53">
        <v>3.6940827000000002E-2</v>
      </c>
      <c r="F11" s="53">
        <v>4.3708776999999997E-2</v>
      </c>
      <c r="G11" s="53">
        <v>1.5337538E-2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0.88340230725000013</v>
      </c>
      <c r="D14" s="54">
        <v>0.86865575759299996</v>
      </c>
      <c r="E14" s="54">
        <v>0.86865575759299996</v>
      </c>
      <c r="F14" s="54">
        <v>0.85659057522600013</v>
      </c>
      <c r="G14" s="54">
        <v>0.85659057522600013</v>
      </c>
      <c r="H14" s="45">
        <v>0.58399999999999996</v>
      </c>
      <c r="I14" s="55">
        <v>0.58399999999999996</v>
      </c>
      <c r="J14" s="55">
        <v>0.58399999999999996</v>
      </c>
      <c r="K14" s="55">
        <v>0.58399999999999996</v>
      </c>
      <c r="L14" s="45">
        <v>0.503</v>
      </c>
      <c r="M14" s="55">
        <v>0.503</v>
      </c>
      <c r="N14" s="55">
        <v>0.503</v>
      </c>
      <c r="O14" s="55">
        <v>0.503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0.35854031062740677</v>
      </c>
      <c r="D15" s="52">
        <f t="shared" si="0"/>
        <v>0.35255523174396775</v>
      </c>
      <c r="E15" s="52">
        <f t="shared" si="0"/>
        <v>0.35255523174396775</v>
      </c>
      <c r="F15" s="52">
        <f t="shared" si="0"/>
        <v>0.34765842063295005</v>
      </c>
      <c r="G15" s="52">
        <f t="shared" si="0"/>
        <v>0.34765842063295005</v>
      </c>
      <c r="H15" s="52">
        <f t="shared" si="0"/>
        <v>0.23702399199999996</v>
      </c>
      <c r="I15" s="52">
        <f t="shared" si="0"/>
        <v>0.23702399199999996</v>
      </c>
      <c r="J15" s="52">
        <f t="shared" si="0"/>
        <v>0.23702399199999996</v>
      </c>
      <c r="K15" s="52">
        <f t="shared" si="0"/>
        <v>0.23702399199999996</v>
      </c>
      <c r="L15" s="52">
        <f t="shared" si="0"/>
        <v>0.20414908899999998</v>
      </c>
      <c r="M15" s="52">
        <f t="shared" si="0"/>
        <v>0.20414908899999998</v>
      </c>
      <c r="N15" s="52">
        <f t="shared" si="0"/>
        <v>0.20414908899999998</v>
      </c>
      <c r="O15" s="52">
        <f t="shared" si="0"/>
        <v>0.20414908899999998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UiYND8KAInPRQH2uJ70/24pJ9anTEC8u6GJUzrrbVwAEA3zsifgaICUs/deD2q2Y0iqM0siJa/fSIP31cF9IWA==" saltValue="RrK/DhvXVG1ckALAMEMZ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0.62072270000000007</v>
      </c>
      <c r="D2" s="53">
        <v>0.34721740000000001</v>
      </c>
      <c r="E2" s="53"/>
      <c r="F2" s="53"/>
      <c r="G2" s="53"/>
    </row>
    <row r="3" spans="1:7" x14ac:dyDescent="0.25">
      <c r="B3" s="3" t="s">
        <v>130</v>
      </c>
      <c r="C3" s="53">
        <v>0.26756039999999998</v>
      </c>
      <c r="D3" s="53">
        <v>0.48751299999999997</v>
      </c>
      <c r="E3" s="53"/>
      <c r="F3" s="53"/>
      <c r="G3" s="53"/>
    </row>
    <row r="4" spans="1:7" x14ac:dyDescent="0.25">
      <c r="B4" s="3" t="s">
        <v>131</v>
      </c>
      <c r="C4" s="53">
        <v>8.3577600000000002E-2</v>
      </c>
      <c r="D4" s="53">
        <v>0.1371406</v>
      </c>
      <c r="E4" s="53">
        <v>0.97418731451034501</v>
      </c>
      <c r="F4" s="53">
        <v>0.80398219823837291</v>
      </c>
      <c r="G4" s="53"/>
    </row>
    <row r="5" spans="1:7" x14ac:dyDescent="0.25">
      <c r="B5" s="3" t="s">
        <v>132</v>
      </c>
      <c r="C5" s="52">
        <v>2.813937E-2</v>
      </c>
      <c r="D5" s="52">
        <v>2.8129080000000001E-2</v>
      </c>
      <c r="E5" s="52">
        <f>1-SUM(E2:E4)</f>
        <v>2.5812685489654985E-2</v>
      </c>
      <c r="F5" s="52">
        <f>1-SUM(F2:F4)</f>
        <v>0.19601780176162709</v>
      </c>
      <c r="G5" s="52">
        <f>1-SUM(G2:G4)</f>
        <v>1</v>
      </c>
    </row>
  </sheetData>
  <sheetProtection algorithmName="SHA-512" hashValue="kPafn3B827pOeVttgYns+dOmUwvbqvXIGe0BoFssCOXQVZ0G7pUIixiqCuLwNS4Kl7AegM8Rcc3NRAYj4g4PaQ==" saltValue="YVB64/mo5frL0UFCXFOc5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VfYCgt0+8K2p5yPq8dPoxupRNgOFW9PRnCZ5t4ItVAucl14QeKV/Nk3CqE1FovbqNnQ1+vl3Zeeqe08c6yErA==" saltValue="IjhrTL5zXalPUc+5ZC3J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3IQnnVCRJN2s3KrwMJk4Xmg36o3t8J8hB0++MnMjk2WJ9iXMpGCfCnu3tQIVilwptyjoaucqhPaE2vFvj5lFKw==" saltValue="QFW2QJzzTJid1aTWS6Q3x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IUbyy/Znr/qnUecTf5j/T4kXN0a0GqHIAEEtOJNRyByfUIf7jfEOOSTXZGnTCuORN6lCbj6OvEi5+/SAt+HTXA==" saltValue="aDz/fhSyaZVAy06TBP3Pr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b+wQ/PlKwZXmAboPXfL+3e4a8MerUIOP7bvR215vGjzR1GmrKFBHWc7KM5nzh0os2ej5f5EpmsdST0DRSLA6WA==" saltValue="D6AqwsWr8AuIXlFQ3TO3v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2024-03-15T03:06:59Z</dcterms:modified>
</cp:coreProperties>
</file>