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2CA2F7E0-7E27-443C-8FCA-CB60E32C8E85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D19" i="26"/>
  <c r="C19" i="26"/>
  <c r="G17" i="26"/>
  <c r="C17" i="26"/>
  <c r="C12" i="26"/>
  <c r="C10" i="26"/>
  <c r="G5" i="26"/>
  <c r="G19" i="26" s="1"/>
  <c r="F5" i="26"/>
  <c r="F12" i="26" s="1"/>
  <c r="E5" i="26"/>
  <c r="E12" i="26" s="1"/>
  <c r="D5" i="26"/>
  <c r="D12" i="26" s="1"/>
  <c r="G3" i="26"/>
  <c r="G10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H39" i="2"/>
  <c r="I39" i="2" s="1"/>
  <c r="G39" i="2"/>
  <c r="H38" i="2"/>
  <c r="G38" i="2"/>
  <c r="H11" i="2"/>
  <c r="I11" i="2" s="1"/>
  <c r="G11" i="2"/>
  <c r="H10" i="2"/>
  <c r="G10" i="2"/>
  <c r="I10" i="2" s="1"/>
  <c r="H9" i="2"/>
  <c r="I9" i="2" s="1"/>
  <c r="G9" i="2"/>
  <c r="H8" i="2"/>
  <c r="G8" i="2"/>
  <c r="H7" i="2"/>
  <c r="I7" i="2" s="1"/>
  <c r="G7" i="2"/>
  <c r="H6" i="2"/>
  <c r="G6" i="2"/>
  <c r="I6" i="2" s="1"/>
  <c r="H5" i="2"/>
  <c r="G5" i="2"/>
  <c r="H4" i="2"/>
  <c r="G4" i="2"/>
  <c r="H3" i="2"/>
  <c r="G3" i="2"/>
  <c r="I3" i="2" s="1"/>
  <c r="H2" i="2"/>
  <c r="G2" i="2"/>
  <c r="I2" i="2" s="1"/>
  <c r="A2" i="2"/>
  <c r="A36" i="2" s="1"/>
  <c r="C33" i="1"/>
  <c r="C20" i="1"/>
  <c r="A18" i="2" l="1"/>
  <c r="A22" i="2"/>
  <c r="A30" i="2"/>
  <c r="A31" i="2"/>
  <c r="A21" i="2"/>
  <c r="E10" i="26"/>
  <c r="I4" i="2"/>
  <c r="I8" i="2"/>
  <c r="A13" i="2"/>
  <c r="A23" i="2"/>
  <c r="A37" i="2"/>
  <c r="I40" i="2"/>
  <c r="A17" i="2"/>
  <c r="A29" i="2"/>
  <c r="A39" i="2"/>
  <c r="A19" i="2"/>
  <c r="A34" i="2"/>
  <c r="F19" i="26"/>
  <c r="A35" i="2"/>
  <c r="A14" i="2"/>
  <c r="A26" i="2"/>
  <c r="A38" i="2"/>
  <c r="I5" i="2"/>
  <c r="A15" i="2"/>
  <c r="A27" i="2"/>
  <c r="I38" i="2"/>
  <c r="A40" i="2"/>
  <c r="D10" i="26"/>
  <c r="G12" i="26"/>
  <c r="E19" i="26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F10" i="26"/>
  <c r="A25" i="2"/>
  <c r="A33" i="2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<sst xmlns="http://schemas.openxmlformats.org/spreadsheetml/2006/main" count="2092" uniqueCount="337">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</sst>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65857.82958984375</v>
      </c>
    </row>
    <row r="8" spans="1:3" ht="15" customHeight="1" x14ac:dyDescent="0.25">
      <c r="B8" s="5" t="s">
        <v>19</v>
      </c>
      <c r="C8" s="44">
        <v>2E-3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0.87688980102539105</v>
      </c>
    </row>
    <row r="11" spans="1:3" ht="15" customHeight="1" x14ac:dyDescent="0.25">
      <c r="B11" s="5" t="s">
        <v>22</v>
      </c>
      <c r="C11" s="45">
        <v>0.62</v>
      </c>
    </row>
    <row r="12" spans="1:3" ht="15" customHeight="1" x14ac:dyDescent="0.25">
      <c r="B12" s="5" t="s">
        <v>23</v>
      </c>
      <c r="C12" s="45">
        <v>0.33700000000000002</v>
      </c>
    </row>
    <row r="13" spans="1:3" ht="15" customHeight="1" x14ac:dyDescent="0.25">
      <c r="B13" s="5" t="s">
        <v>24</v>
      </c>
      <c r="C13" s="45">
        <v>0.58099999999999996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9.3299999999999994E-2</v>
      </c>
    </row>
    <row r="24" spans="1:3" ht="15" customHeight="1" x14ac:dyDescent="0.25">
      <c r="B24" s="15" t="s">
        <v>33</v>
      </c>
      <c r="C24" s="45">
        <v>0.53799999999999992</v>
      </c>
    </row>
    <row r="25" spans="1:3" ht="15" customHeight="1" x14ac:dyDescent="0.25">
      <c r="B25" s="15" t="s">
        <v>34</v>
      </c>
      <c r="C25" s="45">
        <v>0.34460000000000002</v>
      </c>
    </row>
    <row r="26" spans="1:3" ht="15" customHeight="1" x14ac:dyDescent="0.25">
      <c r="B26" s="15" t="s">
        <v>35</v>
      </c>
      <c r="C26" s="45">
        <v>2.41E-2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0.35675533525383901</v>
      </c>
    </row>
    <row r="30" spans="1:3" ht="14.25" customHeight="1" x14ac:dyDescent="0.25">
      <c r="B30" s="25" t="s">
        <v>38</v>
      </c>
      <c r="C30" s="99">
        <v>6.5910586704521698E-2</v>
      </c>
    </row>
    <row r="31" spans="1:3" ht="14.25" customHeight="1" x14ac:dyDescent="0.25">
      <c r="B31" s="25" t="s">
        <v>39</v>
      </c>
      <c r="C31" s="99">
        <v>9.262041217609189E-2</v>
      </c>
    </row>
    <row r="32" spans="1:3" ht="14.25" customHeight="1" x14ac:dyDescent="0.25">
      <c r="B32" s="25" t="s">
        <v>40</v>
      </c>
      <c r="C32" s="99">
        <v>0.48471366586554798</v>
      </c>
    </row>
    <row r="33" spans="1:5" ht="13" customHeight="1" x14ac:dyDescent="0.25">
      <c r="B33" s="27" t="s">
        <v>41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10.1883111614382</v>
      </c>
    </row>
    <row r="38" spans="1:5" ht="15" customHeight="1" x14ac:dyDescent="0.25">
      <c r="B38" s="11" t="s">
        <v>45</v>
      </c>
      <c r="C38" s="43">
        <v>14.269959103193401</v>
      </c>
      <c r="D38" s="12"/>
      <c r="E38" s="13"/>
    </row>
    <row r="39" spans="1:5" ht="15" customHeight="1" x14ac:dyDescent="0.25">
      <c r="B39" s="11" t="s">
        <v>46</v>
      </c>
      <c r="C39" s="43">
        <v>16.0094232560321</v>
      </c>
      <c r="D39" s="12"/>
      <c r="E39" s="12"/>
    </row>
    <row r="40" spans="1:5" ht="15" customHeight="1" x14ac:dyDescent="0.25">
      <c r="B40" s="11" t="s">
        <v>47</v>
      </c>
      <c r="C40" s="100">
        <v>0.61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10.286326170000001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2.8658999999999998E-3</v>
      </c>
      <c r="D45" s="12"/>
    </row>
    <row r="46" spans="1:5" ht="15.75" customHeight="1" x14ac:dyDescent="0.25">
      <c r="B46" s="11" t="s">
        <v>52</v>
      </c>
      <c r="C46" s="45">
        <v>8.5700800000000008E-2</v>
      </c>
      <c r="D46" s="12"/>
    </row>
    <row r="47" spans="1:5" ht="15.75" customHeight="1" x14ac:dyDescent="0.25">
      <c r="B47" s="11" t="s">
        <v>53</v>
      </c>
      <c r="C47" s="45">
        <v>0.142431</v>
      </c>
      <c r="D47" s="12"/>
      <c r="E47" s="13"/>
    </row>
    <row r="48" spans="1:5" ht="15" customHeight="1" x14ac:dyDescent="0.25">
      <c r="B48" s="11" t="s">
        <v>54</v>
      </c>
      <c r="C48" s="46">
        <v>0.76900229999999992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3.3</v>
      </c>
      <c r="D51" s="12"/>
    </row>
    <row r="52" spans="1:4" ht="15" customHeight="1" x14ac:dyDescent="0.25">
      <c r="B52" s="11" t="s">
        <v>57</v>
      </c>
      <c r="C52" s="100">
        <v>3.3</v>
      </c>
    </row>
    <row r="53" spans="1:4" ht="15.75" customHeight="1" x14ac:dyDescent="0.25">
      <c r="B53" s="11" t="s">
        <v>58</v>
      </c>
      <c r="C53" s="100">
        <v>3.3</v>
      </c>
    </row>
    <row r="54" spans="1:4" ht="15.75" customHeight="1" x14ac:dyDescent="0.25">
      <c r="B54" s="11" t="s">
        <v>59</v>
      </c>
      <c r="C54" s="100">
        <v>3.3</v>
      </c>
    </row>
    <row r="55" spans="1:4" ht="15.75" customHeight="1" x14ac:dyDescent="0.25">
      <c r="B55" s="11" t="s">
        <v>60</v>
      </c>
      <c r="C55" s="100">
        <v>3.3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2.181818181818182E-2</v>
      </c>
    </row>
    <row r="59" spans="1:4" ht="15.75" customHeight="1" x14ac:dyDescent="0.25">
      <c r="B59" s="11" t="s">
        <v>63</v>
      </c>
      <c r="C59" s="45">
        <v>0.55043399999999998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0.17056761000000001</v>
      </c>
    </row>
    <row r="63" spans="1:4" ht="15.75" customHeight="1" x14ac:dyDescent="0.3">
      <c r="A63" s="4"/>
    </row>
  </sheetData>
  <sheetProtection algorithmName="SHA-512" hashValue="tcCGGQCOuIG+WHsk0uG22M8ZTBVUJnCkbgtivKVadgXodUC2kT5Rh/8rsNZVYRJeUG9optLjMP0vN867v2pWYA==" saltValue="ZWzuV6Ccf3Yw0ETDXDDpc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13354.605</v>
      </c>
      <c r="C2" s="49">
        <v>45000</v>
      </c>
      <c r="D2" s="49">
        <v>97000</v>
      </c>
      <c r="E2" s="49">
        <v>87000</v>
      </c>
      <c r="F2" s="49">
        <v>91000</v>
      </c>
      <c r="G2" s="17">
        <f t="shared" ref="G2:G11" si="0">C2+D2+E2+F2</f>
        <v>320000</v>
      </c>
      <c r="H2" s="17">
        <f t="shared" ref="H2:H11" si="1">(B2 + stillbirth*B2/(1000-stillbirth))/(1-abortion)</f>
        <v>15333.411976893307</v>
      </c>
      <c r="I2" s="17">
        <f t="shared" ref="I2:I11" si="2">G2-H2</f>
        <v>304666.58802310668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13378.362800000001</v>
      </c>
      <c r="C3" s="50">
        <v>44000</v>
      </c>
      <c r="D3" s="50">
        <v>96000</v>
      </c>
      <c r="E3" s="50">
        <v>89000</v>
      </c>
      <c r="F3" s="50">
        <v>92000</v>
      </c>
      <c r="G3" s="17">
        <f t="shared" si="0"/>
        <v>321000</v>
      </c>
      <c r="H3" s="17">
        <f t="shared" si="1"/>
        <v>15360.690068238178</v>
      </c>
      <c r="I3" s="17">
        <f t="shared" si="2"/>
        <v>305639.30993176182</v>
      </c>
    </row>
    <row r="4" spans="1:9" ht="15.75" customHeight="1" x14ac:dyDescent="0.25">
      <c r="A4" s="5">
        <f t="shared" si="3"/>
        <v>2023</v>
      </c>
      <c r="B4" s="49">
        <v>13402.1294</v>
      </c>
      <c r="C4" s="50">
        <v>43000</v>
      </c>
      <c r="D4" s="50">
        <v>96000</v>
      </c>
      <c r="E4" s="50">
        <v>91000</v>
      </c>
      <c r="F4" s="50">
        <v>92000</v>
      </c>
      <c r="G4" s="17">
        <f t="shared" si="0"/>
        <v>322000</v>
      </c>
      <c r="H4" s="17">
        <f t="shared" si="1"/>
        <v>15387.97826351539</v>
      </c>
      <c r="I4" s="17">
        <f t="shared" si="2"/>
        <v>306612.0217364846</v>
      </c>
    </row>
    <row r="5" spans="1:9" ht="15.75" customHeight="1" x14ac:dyDescent="0.25">
      <c r="A5" s="5">
        <f t="shared" si="3"/>
        <v>2024</v>
      </c>
      <c r="B5" s="49">
        <v>13425.9048</v>
      </c>
      <c r="C5" s="50">
        <v>41000</v>
      </c>
      <c r="D5" s="50">
        <v>94000</v>
      </c>
      <c r="E5" s="50">
        <v>93000</v>
      </c>
      <c r="F5" s="50">
        <v>92000</v>
      </c>
      <c r="G5" s="17">
        <f t="shared" si="0"/>
        <v>320000</v>
      </c>
      <c r="H5" s="17">
        <f t="shared" si="1"/>
        <v>15415.276562724946</v>
      </c>
      <c r="I5" s="17">
        <f t="shared" si="2"/>
        <v>304584.72343727504</v>
      </c>
    </row>
    <row r="6" spans="1:9" ht="15.75" customHeight="1" x14ac:dyDescent="0.25">
      <c r="A6" s="5">
        <f t="shared" si="3"/>
        <v>2025</v>
      </c>
      <c r="B6" s="49">
        <v>13449.689</v>
      </c>
      <c r="C6" s="50">
        <v>39000</v>
      </c>
      <c r="D6" s="50">
        <v>92000</v>
      </c>
      <c r="E6" s="50">
        <v>95000</v>
      </c>
      <c r="F6" s="50">
        <v>92000</v>
      </c>
      <c r="G6" s="17">
        <f t="shared" si="0"/>
        <v>318000</v>
      </c>
      <c r="H6" s="17">
        <f t="shared" si="1"/>
        <v>15442.584965866845</v>
      </c>
      <c r="I6" s="17">
        <f t="shared" si="2"/>
        <v>302557.41503413313</v>
      </c>
    </row>
    <row r="7" spans="1:9" ht="15.75" customHeight="1" x14ac:dyDescent="0.25">
      <c r="A7" s="5">
        <f t="shared" si="3"/>
        <v>2026</v>
      </c>
      <c r="B7" s="49">
        <v>13421.1384</v>
      </c>
      <c r="C7" s="50">
        <v>38000</v>
      </c>
      <c r="D7" s="50">
        <v>91000</v>
      </c>
      <c r="E7" s="50">
        <v>96000</v>
      </c>
      <c r="F7" s="50">
        <v>90000</v>
      </c>
      <c r="G7" s="17">
        <f t="shared" si="0"/>
        <v>315000</v>
      </c>
      <c r="H7" s="17">
        <f t="shared" si="1"/>
        <v>15409.803905551884</v>
      </c>
      <c r="I7" s="17">
        <f t="shared" si="2"/>
        <v>299590.1960944481</v>
      </c>
    </row>
    <row r="8" spans="1:9" ht="15.75" customHeight="1" x14ac:dyDescent="0.25">
      <c r="A8" s="5">
        <f t="shared" si="3"/>
        <v>2027</v>
      </c>
      <c r="B8" s="49">
        <v>13392.527</v>
      </c>
      <c r="C8" s="50">
        <v>37000</v>
      </c>
      <c r="D8" s="50">
        <v>90000</v>
      </c>
      <c r="E8" s="50">
        <v>97000</v>
      </c>
      <c r="F8" s="50">
        <v>89000</v>
      </c>
      <c r="G8" s="17">
        <f t="shared" si="0"/>
        <v>313000</v>
      </c>
      <c r="H8" s="17">
        <f t="shared" si="1"/>
        <v>15376.953036249821</v>
      </c>
      <c r="I8" s="17">
        <f t="shared" si="2"/>
        <v>297623.04696375015</v>
      </c>
    </row>
    <row r="9" spans="1:9" ht="15.75" customHeight="1" x14ac:dyDescent="0.25">
      <c r="A9" s="5">
        <f t="shared" si="3"/>
        <v>2028</v>
      </c>
      <c r="B9" s="49">
        <v>13363.854799999999</v>
      </c>
      <c r="C9" s="50">
        <v>36000</v>
      </c>
      <c r="D9" s="50">
        <v>90000</v>
      </c>
      <c r="E9" s="50">
        <v>97000</v>
      </c>
      <c r="F9" s="50">
        <v>87000</v>
      </c>
      <c r="G9" s="17">
        <f t="shared" si="0"/>
        <v>310000</v>
      </c>
      <c r="H9" s="17">
        <f t="shared" si="1"/>
        <v>15344.032357960652</v>
      </c>
      <c r="I9" s="17">
        <f t="shared" si="2"/>
        <v>294655.96764203935</v>
      </c>
    </row>
    <row r="10" spans="1:9" ht="15.75" customHeight="1" x14ac:dyDescent="0.25">
      <c r="A10" s="5">
        <f t="shared" si="3"/>
        <v>2029</v>
      </c>
      <c r="B10" s="49">
        <v>13335.121800000001</v>
      </c>
      <c r="C10" s="50">
        <v>35000</v>
      </c>
      <c r="D10" s="50">
        <v>88000</v>
      </c>
      <c r="E10" s="50">
        <v>97000</v>
      </c>
      <c r="F10" s="50">
        <v>86000</v>
      </c>
      <c r="G10" s="17">
        <f t="shared" si="0"/>
        <v>306000</v>
      </c>
      <c r="H10" s="17">
        <f t="shared" si="1"/>
        <v>15311.041870684388</v>
      </c>
      <c r="I10" s="17">
        <f t="shared" si="2"/>
        <v>290688.95812931564</v>
      </c>
    </row>
    <row r="11" spans="1:9" ht="15.75" customHeight="1" x14ac:dyDescent="0.25">
      <c r="A11" s="5">
        <f t="shared" si="3"/>
        <v>2030</v>
      </c>
      <c r="B11" s="49">
        <v>13295.996999999999</v>
      </c>
      <c r="C11" s="50">
        <v>34000</v>
      </c>
      <c r="D11" s="50">
        <v>85000</v>
      </c>
      <c r="E11" s="50">
        <v>97000</v>
      </c>
      <c r="F11" s="50">
        <v>86000</v>
      </c>
      <c r="G11" s="17">
        <f t="shared" si="0"/>
        <v>302000</v>
      </c>
      <c r="H11" s="17">
        <f t="shared" si="1"/>
        <v>15266.119787484353</v>
      </c>
      <c r="I11" s="17">
        <f t="shared" si="2"/>
        <v>286733.88021251565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owgyCnqELSOfdrUpcGloZfKwa8NU3P3C01c9EbpSS8Ql9sXuMu34w/HGT/MuF/QGbz9Jehn858NTXZmUsF/POw==" saltValue="QGBD5SgfsSCLK9GvP2Lbl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0</v>
      </c>
    </row>
    <row r="4" spans="1:8" ht="15.75" customHeight="1" x14ac:dyDescent="0.25">
      <c r="B4" s="19" t="s">
        <v>79</v>
      </c>
      <c r="C4" s="101">
        <v>0.15957447432679839</v>
      </c>
    </row>
    <row r="5" spans="1:8" ht="15.75" customHeight="1" x14ac:dyDescent="0.25">
      <c r="B5" s="19" t="s">
        <v>80</v>
      </c>
      <c r="C5" s="101">
        <v>3.1914893049169141E-2</v>
      </c>
    </row>
    <row r="6" spans="1:8" ht="15.75" customHeight="1" x14ac:dyDescent="0.25">
      <c r="B6" s="19" t="s">
        <v>81</v>
      </c>
      <c r="C6" s="101">
        <v>0.14893617362247261</v>
      </c>
    </row>
    <row r="7" spans="1:8" ht="15.75" customHeight="1" x14ac:dyDescent="0.25">
      <c r="B7" s="19" t="s">
        <v>82</v>
      </c>
      <c r="C7" s="101">
        <v>0.34042551374796293</v>
      </c>
    </row>
    <row r="8" spans="1:8" ht="15.75" customHeight="1" x14ac:dyDescent="0.25">
      <c r="B8" s="19" t="s">
        <v>83</v>
      </c>
      <c r="C8" s="101">
        <v>0</v>
      </c>
    </row>
    <row r="9" spans="1:8" ht="15.75" customHeight="1" x14ac:dyDescent="0.25">
      <c r="B9" s="19" t="s">
        <v>84</v>
      </c>
      <c r="C9" s="101">
        <v>0.2127659597150966</v>
      </c>
    </row>
    <row r="10" spans="1:8" ht="15.75" customHeight="1" x14ac:dyDescent="0.25">
      <c r="B10" s="19" t="s">
        <v>85</v>
      </c>
      <c r="C10" s="101">
        <v>0.1063829855385004</v>
      </c>
    </row>
    <row r="11" spans="1:8" ht="15.75" customHeight="1" x14ac:dyDescent="0.25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0</v>
      </c>
      <c r="D14" s="55">
        <v>0</v>
      </c>
      <c r="E14" s="55">
        <v>0</v>
      </c>
      <c r="F14" s="55">
        <v>0</v>
      </c>
    </row>
    <row r="15" spans="1:8" ht="15.75" customHeight="1" x14ac:dyDescent="0.25">
      <c r="B15" s="19" t="s">
        <v>88</v>
      </c>
      <c r="C15" s="101">
        <v>0.18969127135882199</v>
      </c>
      <c r="D15" s="101">
        <v>0.18969127135882199</v>
      </c>
      <c r="E15" s="101">
        <v>0.18969127135882199</v>
      </c>
      <c r="F15" s="101">
        <v>0.18969127135882199</v>
      </c>
    </row>
    <row r="16" spans="1:8" ht="15.75" customHeight="1" x14ac:dyDescent="0.25">
      <c r="B16" s="19" t="s">
        <v>89</v>
      </c>
      <c r="C16" s="101">
        <v>3.4607090481600038E-2</v>
      </c>
      <c r="D16" s="101">
        <v>3.4607090481600038E-2</v>
      </c>
      <c r="E16" s="101">
        <v>3.4607090481600038E-2</v>
      </c>
      <c r="F16" s="101">
        <v>3.4607090481600038E-2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0</v>
      </c>
      <c r="D19" s="101">
        <v>0</v>
      </c>
      <c r="E19" s="101">
        <v>0</v>
      </c>
      <c r="F19" s="101">
        <v>0</v>
      </c>
    </row>
    <row r="20" spans="1:8" ht="15.75" customHeight="1" x14ac:dyDescent="0.25">
      <c r="B20" s="19" t="s">
        <v>93</v>
      </c>
      <c r="C20" s="101">
        <v>8.0534739416660117E-2</v>
      </c>
      <c r="D20" s="101">
        <v>8.0534739416660117E-2</v>
      </c>
      <c r="E20" s="101">
        <v>8.0534739416660117E-2</v>
      </c>
      <c r="F20" s="101">
        <v>8.0534739416660117E-2</v>
      </c>
    </row>
    <row r="21" spans="1:8" ht="15.75" customHeight="1" x14ac:dyDescent="0.25">
      <c r="B21" s="19" t="s">
        <v>94</v>
      </c>
      <c r="C21" s="101">
        <v>0.1050817435504159</v>
      </c>
      <c r="D21" s="101">
        <v>0.1050817435504159</v>
      </c>
      <c r="E21" s="101">
        <v>0.1050817435504159</v>
      </c>
      <c r="F21" s="101">
        <v>0.1050817435504159</v>
      </c>
    </row>
    <row r="22" spans="1:8" ht="15.75" customHeight="1" x14ac:dyDescent="0.25">
      <c r="B22" s="19" t="s">
        <v>95</v>
      </c>
      <c r="C22" s="101">
        <v>0.59008515519250204</v>
      </c>
      <c r="D22" s="101">
        <v>0.59008515519250204</v>
      </c>
      <c r="E22" s="101">
        <v>0.59008515519250204</v>
      </c>
      <c r="F22" s="101">
        <v>0.59008515519250204</v>
      </c>
    </row>
    <row r="23" spans="1:8" ht="15.75" customHeight="1" x14ac:dyDescent="0.25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6.3877289000000004E-2</v>
      </c>
    </row>
    <row r="27" spans="1:8" ht="15.75" customHeight="1" x14ac:dyDescent="0.25">
      <c r="B27" s="19" t="s">
        <v>102</v>
      </c>
      <c r="C27" s="101">
        <v>0.18947355599999999</v>
      </c>
    </row>
    <row r="28" spans="1:8" ht="15.75" customHeight="1" x14ac:dyDescent="0.25">
      <c r="B28" s="19" t="s">
        <v>103</v>
      </c>
      <c r="C28" s="101">
        <v>0.10579783700000001</v>
      </c>
    </row>
    <row r="29" spans="1:8" ht="15.75" customHeight="1" x14ac:dyDescent="0.25">
      <c r="B29" s="19" t="s">
        <v>104</v>
      </c>
      <c r="C29" s="101">
        <v>0.116400988</v>
      </c>
    </row>
    <row r="30" spans="1:8" ht="15.75" customHeight="1" x14ac:dyDescent="0.25">
      <c r="B30" s="19" t="s">
        <v>2</v>
      </c>
      <c r="C30" s="101">
        <v>5.2355714999999997E-2</v>
      </c>
    </row>
    <row r="31" spans="1:8" ht="15.75" customHeight="1" x14ac:dyDescent="0.25">
      <c r="B31" s="19" t="s">
        <v>105</v>
      </c>
      <c r="C31" s="101">
        <v>0.15858112799999999</v>
      </c>
    </row>
    <row r="32" spans="1:8" ht="15.75" customHeight="1" x14ac:dyDescent="0.25">
      <c r="B32" s="19" t="s">
        <v>106</v>
      </c>
      <c r="C32" s="101">
        <v>7.0649206000000006E-2</v>
      </c>
    </row>
    <row r="33" spans="2:3" ht="15.75" customHeight="1" x14ac:dyDescent="0.25">
      <c r="B33" s="19" t="s">
        <v>107</v>
      </c>
      <c r="C33" s="101">
        <v>0.120208732</v>
      </c>
    </row>
    <row r="34" spans="2:3" ht="15.75" customHeight="1" x14ac:dyDescent="0.25">
      <c r="B34" s="19" t="s">
        <v>108</v>
      </c>
      <c r="C34" s="101">
        <v>0.122655549</v>
      </c>
    </row>
    <row r="35" spans="2:3" ht="15.75" customHeight="1" x14ac:dyDescent="0.25">
      <c r="B35" s="27" t="s">
        <v>41</v>
      </c>
      <c r="C35" s="48">
        <f>SUM(C26:C34)</f>
        <v>1</v>
      </c>
    </row>
  </sheetData>
  <sheetProtection algorithmName="SHA-512" hashValue="5j5EjvHPhcf2qp+eDInMm1x7gcBrv0MLikSWIW937Jb2RQhJAPCyGb92PlvlfcaFoZ/H36Zn3XaU6bOQlSA17w==" saltValue="MIfjZQqhzKC+zb/raAs6P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0.44271398086223201</v>
      </c>
      <c r="D2" s="52">
        <f>IFERROR(1-_xlfn.NORM.DIST(_xlfn.NORM.INV(SUM(D4:D5), 0, 1) + 1, 0, 1, TRUE), "")</f>
        <v>0.44271398086223201</v>
      </c>
      <c r="E2" s="52">
        <f>IFERROR(1-_xlfn.NORM.DIST(_xlfn.NORM.INV(SUM(E4:E5), 0, 1) + 1, 0, 1, TRUE), "")</f>
        <v>0.34328145737735127</v>
      </c>
      <c r="F2" s="52">
        <f>IFERROR(1-_xlfn.NORM.DIST(_xlfn.NORM.INV(SUM(F4:F5), 0, 1) + 1, 0, 1, TRUE), "")</f>
        <v>0.17237054586040745</v>
      </c>
      <c r="G2" s="52">
        <f>IFERROR(1-_xlfn.NORM.DIST(_xlfn.NORM.INV(SUM(G4:G5), 0, 1) + 1, 0, 1, TRUE), "")</f>
        <v>0.16113967161260878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0.3612617333455781</v>
      </c>
      <c r="D3" s="52">
        <f>IFERROR(_xlfn.NORM.DIST(_xlfn.NORM.INV(SUM(D4:D5), 0, 1) + 1, 0, 1, TRUE) - SUM(D4:D5), "")</f>
        <v>0.3612617333455781</v>
      </c>
      <c r="E3" s="52">
        <f>IFERROR(_xlfn.NORM.DIST(_xlfn.NORM.INV(SUM(E4:E5), 0, 1) + 1, 0, 1, TRUE) - SUM(E4:E5), "")</f>
        <v>0.3812899614359907</v>
      </c>
      <c r="F3" s="52">
        <f>IFERROR(_xlfn.NORM.DIST(_xlfn.NORM.INV(SUM(F4:F5), 0, 1) + 1, 0, 1, TRUE) - SUM(F4:F5), "")</f>
        <v>0.34962436547079156</v>
      </c>
      <c r="G3" s="52">
        <f>IFERROR(_xlfn.NORM.DIST(_xlfn.NORM.INV(SUM(G4:G5), 0, 1) + 1, 0, 1, TRUE) - SUM(G4:G5), "")</f>
        <v>0.34293555504640627</v>
      </c>
    </row>
    <row r="4" spans="1:15" ht="15.75" customHeight="1" x14ac:dyDescent="0.25">
      <c r="B4" s="5" t="s">
        <v>114</v>
      </c>
      <c r="C4" s="45">
        <v>0.112322704963234</v>
      </c>
      <c r="D4" s="53">
        <v>0.112322704963234</v>
      </c>
      <c r="E4" s="53">
        <v>0.166080500946093</v>
      </c>
      <c r="F4" s="53">
        <v>0.25655427004518899</v>
      </c>
      <c r="G4" s="53">
        <v>0.26512859806654798</v>
      </c>
    </row>
    <row r="5" spans="1:15" ht="15.75" customHeight="1" x14ac:dyDescent="0.25">
      <c r="B5" s="5" t="s">
        <v>115</v>
      </c>
      <c r="C5" s="45">
        <v>8.3701580828955902E-2</v>
      </c>
      <c r="D5" s="53">
        <v>8.3701580828955902E-2</v>
      </c>
      <c r="E5" s="53">
        <v>0.109348080240565</v>
      </c>
      <c r="F5" s="53">
        <v>0.22145081862361199</v>
      </c>
      <c r="G5" s="53">
        <v>0.23079617527443699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0.59463559811179068</v>
      </c>
      <c r="D8" s="52">
        <f>IFERROR(1-_xlfn.NORM.DIST(_xlfn.NORM.INV(SUM(D10:D11), 0, 1) + 1, 0, 1, TRUE), "")</f>
        <v>0.59463559811179068</v>
      </c>
      <c r="E8" s="52">
        <f>IFERROR(1-_xlfn.NORM.DIST(_xlfn.NORM.INV(SUM(E10:E11), 0, 1) + 1, 0, 1, TRUE), "")</f>
        <v>0.57356455818407126</v>
      </c>
      <c r="F8" s="52">
        <f>IFERROR(1-_xlfn.NORM.DIST(_xlfn.NORM.INV(SUM(F10:F11), 0, 1) + 1, 0, 1, TRUE), "")</f>
        <v>0.62300966941728453</v>
      </c>
      <c r="G8" s="52">
        <f>IFERROR(1-_xlfn.NORM.DIST(_xlfn.NORM.INV(SUM(G10:G11), 0, 1) + 1, 0, 1, TRUE), "")</f>
        <v>0.73259472032102957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0.29778160417023652</v>
      </c>
      <c r="D9" s="52">
        <f>IFERROR(_xlfn.NORM.DIST(_xlfn.NORM.INV(SUM(D10:D11), 0, 1) + 1, 0, 1, TRUE) - SUM(D10:D11), "")</f>
        <v>0.29778160417023652</v>
      </c>
      <c r="E9" s="52">
        <f>IFERROR(_xlfn.NORM.DIST(_xlfn.NORM.INV(SUM(E10:E11), 0, 1) + 1, 0, 1, TRUE) - SUM(E10:E11), "")</f>
        <v>0.30851696820205732</v>
      </c>
      <c r="F9" s="52">
        <f>IFERROR(_xlfn.NORM.DIST(_xlfn.NORM.INV(SUM(F10:F11), 0, 1) + 1, 0, 1, TRUE) - SUM(F10:F11), "")</f>
        <v>0.28246537240410174</v>
      </c>
      <c r="G9" s="52">
        <f>IFERROR(_xlfn.NORM.DIST(_xlfn.NORM.INV(SUM(G10:G11), 0, 1) + 1, 0, 1, TRUE) - SUM(G10:G11), "")</f>
        <v>0.21486207710733823</v>
      </c>
    </row>
    <row r="10" spans="1:15" ht="15.75" customHeight="1" x14ac:dyDescent="0.25">
      <c r="B10" s="5" t="s">
        <v>119</v>
      </c>
      <c r="C10" s="45">
        <v>6.2125760551020703E-2</v>
      </c>
      <c r="D10" s="53">
        <v>6.2125760551020703E-2</v>
      </c>
      <c r="E10" s="53">
        <v>7.5157248934135598E-2</v>
      </c>
      <c r="F10" s="53">
        <v>6.2279893880849799E-2</v>
      </c>
      <c r="G10" s="53">
        <v>3.4148674378456298E-2</v>
      </c>
    </row>
    <row r="11" spans="1:15" ht="15.75" customHeight="1" x14ac:dyDescent="0.25">
      <c r="B11" s="5" t="s">
        <v>120</v>
      </c>
      <c r="C11" s="45">
        <v>4.5457037166952097E-2</v>
      </c>
      <c r="D11" s="53">
        <v>4.5457037166952097E-2</v>
      </c>
      <c r="E11" s="53">
        <v>4.2761224679735803E-2</v>
      </c>
      <c r="F11" s="53">
        <v>3.2245064297763901E-2</v>
      </c>
      <c r="G11" s="53">
        <v>1.8394528193175899E-2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0.50235673049999996</v>
      </c>
      <c r="D14" s="54">
        <v>0.47946105178800003</v>
      </c>
      <c r="E14" s="54">
        <v>0.47946105178800003</v>
      </c>
      <c r="F14" s="54">
        <v>0.29359077824300001</v>
      </c>
      <c r="G14" s="54">
        <v>0.29359077824300001</v>
      </c>
      <c r="H14" s="45">
        <v>0.29299999999999998</v>
      </c>
      <c r="I14" s="55">
        <v>0.29299999999999998</v>
      </c>
      <c r="J14" s="55">
        <v>0.29299999999999998</v>
      </c>
      <c r="K14" s="55">
        <v>0.29299999999999998</v>
      </c>
      <c r="L14" s="45">
        <v>0.25</v>
      </c>
      <c r="M14" s="55">
        <v>0.25</v>
      </c>
      <c r="N14" s="55">
        <v>0.25</v>
      </c>
      <c r="O14" s="55">
        <v>0.25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0.27651422459603697</v>
      </c>
      <c r="D15" s="52">
        <f t="shared" si="0"/>
        <v>0.26391166457987597</v>
      </c>
      <c r="E15" s="52">
        <f t="shared" si="0"/>
        <v>0.26391166457987597</v>
      </c>
      <c r="F15" s="52">
        <f t="shared" si="0"/>
        <v>0.16160234643140745</v>
      </c>
      <c r="G15" s="52">
        <f t="shared" si="0"/>
        <v>0.16160234643140745</v>
      </c>
      <c r="H15" s="52">
        <f t="shared" si="0"/>
        <v>0.16127716199999997</v>
      </c>
      <c r="I15" s="52">
        <f t="shared" si="0"/>
        <v>0.16127716199999997</v>
      </c>
      <c r="J15" s="52">
        <f t="shared" si="0"/>
        <v>0.16127716199999997</v>
      </c>
      <c r="K15" s="52">
        <f t="shared" si="0"/>
        <v>0.16127716199999997</v>
      </c>
      <c r="L15" s="52">
        <f t="shared" si="0"/>
        <v>0.13760849999999999</v>
      </c>
      <c r="M15" s="52">
        <f t="shared" si="0"/>
        <v>0.13760849999999999</v>
      </c>
      <c r="N15" s="52">
        <f t="shared" si="0"/>
        <v>0.13760849999999999</v>
      </c>
      <c r="O15" s="52">
        <f t="shared" si="0"/>
        <v>0.13760849999999999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E1H6PN82D9WMuXSW4GLTY0OZFXU/fm3EXvKo7SCuA3RQDr3rWrLGVIZq9J4Yhk5oxd2OK5QrPkQM0gYLyPCGhA==" saltValue="rizdIyu8ctcAiwtQlqFyZ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0.70065552836136602</v>
      </c>
      <c r="D2" s="53">
        <v>0.47949795743589702</v>
      </c>
      <c r="E2" s="53"/>
      <c r="F2" s="53"/>
      <c r="G2" s="53"/>
    </row>
    <row r="3" spans="1:7" x14ac:dyDescent="0.25">
      <c r="B3" s="3" t="s">
        <v>130</v>
      </c>
      <c r="C3" s="53">
        <v>0.166770393475005</v>
      </c>
      <c r="D3" s="53">
        <v>0.18713821230769201</v>
      </c>
      <c r="E3" s="53"/>
      <c r="F3" s="53"/>
      <c r="G3" s="53"/>
    </row>
    <row r="4" spans="1:7" x14ac:dyDescent="0.25">
      <c r="B4" s="3" t="s">
        <v>131</v>
      </c>
      <c r="C4" s="53">
        <v>0.11331346789737499</v>
      </c>
      <c r="D4" s="53">
        <v>0.31432332743589703</v>
      </c>
      <c r="E4" s="53">
        <v>0.95904587324245594</v>
      </c>
      <c r="F4" s="53">
        <v>0.78975971424257396</v>
      </c>
      <c r="G4" s="53"/>
    </row>
    <row r="5" spans="1:7" x14ac:dyDescent="0.25">
      <c r="B5" s="3" t="s">
        <v>132</v>
      </c>
      <c r="C5" s="52">
        <v>1.9381586010509801E-2</v>
      </c>
      <c r="D5" s="52">
        <v>1.9040498354215101E-2</v>
      </c>
      <c r="E5" s="52">
        <f>1-SUM(E2:E4)</f>
        <v>4.0954126757544063E-2</v>
      </c>
      <c r="F5" s="52">
        <f>1-SUM(F2:F4)</f>
        <v>0.21024028575742604</v>
      </c>
      <c r="G5" s="52">
        <f>1-SUM(G2:G4)</f>
        <v>1</v>
      </c>
    </row>
  </sheetData>
  <sheetProtection algorithmName="SHA-512" hashValue="F+I7CtJoQcWgrdlrFK22UEU31C+6r+2wPuBRgynT9kueG42SJVAaS7NZM1zRms30WxHcSmEw+VBUlq343quWsw==" saltValue="+LFHq+8UzUkgN4fDAe/xe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cIWdYqH0UfhNAIF/UkRfjavw0kGaDxyl/WkOYTAjnsJHx7bXGz8zbGMxJahyPq3Tz9Og3DxqnTpczx5rSQaLrQ==" saltValue="Mn+juPs9zqicYWY98elvH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x14ac:dyDescent="0.25">
      <c r="A2" s="8" t="s">
        <v>145</v>
      </c>
      <c r="B2" s="41">
        <v>10</v>
      </c>
    </row>
    <row r="3" spans="1:2" x14ac:dyDescent="0.25">
      <c r="A3" s="8" t="s">
        <v>150</v>
      </c>
      <c r="B3" s="41">
        <v>10</v>
      </c>
    </row>
    <row r="4" spans="1:2" x14ac:dyDescent="0.25">
      <c r="A4" s="8" t="s">
        <v>146</v>
      </c>
      <c r="B4" s="41">
        <v>10</v>
      </c>
    </row>
    <row r="5" spans="1:2" x14ac:dyDescent="0.25">
      <c r="A5" s="8" t="s">
        <v>147</v>
      </c>
      <c r="B5" s="41">
        <v>10</v>
      </c>
    </row>
    <row r="6" spans="1:2" x14ac:dyDescent="0.25">
      <c r="A6" s="8" t="s">
        <v>148</v>
      </c>
      <c r="B6" s="41">
        <v>10</v>
      </c>
    </row>
    <row r="7" spans="1:2" x14ac:dyDescent="0.25">
      <c r="A7" s="8" t="s">
        <v>149</v>
      </c>
      <c r="B7" s="41">
        <v>10</v>
      </c>
    </row>
  </sheetData>
  <sheetProtection algorithmName="SHA-512" hashValue="Z+5ffbgKxlwK9FH/9OmX4tNL+YHb9PcpEyAvY9OCO4qeievDxc6moXGxK/OBvS8mWlxe3MrO/KCX7+t+XhG5rA==" saltValue="kGkr2u6anMwoYKpd8oTzn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97</v>
      </c>
      <c r="C5" s="47"/>
      <c r="D5" s="47"/>
      <c r="E5" s="38" t="str">
        <f>IF(E$7="","",E$7)</f>
        <v/>
      </c>
    </row>
    <row r="6" spans="1:5" x14ac:dyDescent="0.25">
      <c r="B6" s="32" t="s">
        <v>98</v>
      </c>
      <c r="C6" s="47"/>
      <c r="D6" s="47"/>
      <c r="E6" s="38" t="str">
        <f>IF(E$7="","",E$7)</f>
        <v/>
      </c>
    </row>
    <row r="7" spans="1:5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5">
      <c r="B10" s="32" t="s">
        <v>109</v>
      </c>
      <c r="C10" s="47"/>
      <c r="D10" s="47"/>
      <c r="E10" s="38" t="str">
        <f>IF(E$7="","",E$7)</f>
        <v/>
      </c>
    </row>
    <row r="11" spans="1:5" x14ac:dyDescent="0.25">
      <c r="B11" s="32" t="s">
        <v>96</v>
      </c>
      <c r="C11" s="47"/>
      <c r="D11" s="47"/>
      <c r="E11" s="38" t="str">
        <f>IF(E$7="","",E$7)</f>
        <v/>
      </c>
    </row>
    <row r="12" spans="1:5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156</v>
      </c>
      <c r="C21" s="31"/>
      <c r="D21" s="30"/>
      <c r="E21" s="47"/>
    </row>
  </sheetData>
  <sheetProtection algorithmName="SHA-512" hashValue="Qia/zDLPhnVqMNR2zwCBw2sPS/XaVbJhp8Y8GPJb/PtvzVzWWWZi6Hxw279ajOk/1pPiz8rh8GXnDRL9G/OUGA==" saltValue="ou1VRxaS8gl8LE/E9uHi8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GEFEkDkCrWdQmBleSlo/avDKjnARycR+pZY8H1AW/LB/RYHG7X4YoAD+npVG/0Do5Wj4L+9KVP7vw4D0BrpkcQ==" saltValue="oPRtH0QIToMaa4zXkdpon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</v>
      </c>
      <c r="C2" s="98">
        <v>0.95</v>
      </c>
      <c r="D2" s="56">
        <v>93.027728303273577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40.664575323137043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963.09440282969467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4.53121114934258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13.79687476693295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13.79687476693295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13.79687476693295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13.79687476693295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13.79687476693295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13.79687476693295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</v>
      </c>
      <c r="C16" s="98">
        <v>0.95</v>
      </c>
      <c r="D16" s="56">
        <v>1.5036405668283011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0.95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22.037631612682791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22.037631612682791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</v>
      </c>
      <c r="C21" s="98">
        <v>0.95</v>
      </c>
      <c r="D21" s="56">
        <v>39.551659581876919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24.220431056059901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0</v>
      </c>
      <c r="C23" s="98">
        <v>0.95</v>
      </c>
      <c r="D23" s="56">
        <v>4.7697722391868336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</v>
      </c>
      <c r="C27" s="98">
        <v>0.95</v>
      </c>
      <c r="D27" s="56">
        <v>19.360281839651481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193.52643272006361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2.0037238135004318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3.309249219374832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0.95504837712201096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4.8035127560183009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kKekY4n9UuVKLwDEjSZk2hLP5vLX2yi21VTqAfO5zI6xHHr8tokPM9TlkjZJcFv7d4ztP8arJjp3aKT9ryencw==" saltValue="IdJTqocDA03y110gwPddY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x14ac:dyDescent="0.25">
      <c r="A2" s="57" t="s">
        <v>180</v>
      </c>
      <c r="B2" s="47" t="s">
        <v>190</v>
      </c>
      <c r="C2" s="47"/>
    </row>
    <row r="3" spans="1:3" x14ac:dyDescent="0.25">
      <c r="A3" s="57" t="s">
        <v>181</v>
      </c>
      <c r="B3" s="47" t="s">
        <v>190</v>
      </c>
      <c r="C3" s="47"/>
    </row>
    <row r="4" spans="1:3" x14ac:dyDescent="0.25">
      <c r="A4" s="57" t="s">
        <v>192</v>
      </c>
      <c r="B4" s="47" t="s">
        <v>185</v>
      </c>
      <c r="C4" s="47"/>
    </row>
    <row r="5" spans="1:3" x14ac:dyDescent="0.25">
      <c r="A5" s="57" t="s">
        <v>189</v>
      </c>
      <c r="B5" s="47" t="s">
        <v>185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hEHiP3BMUzi9B/W8eORca65hDI+56gSkDiEe8/fDAO1juDNEce79FV1N1YWcFToLosT8MjFkJczmPxiMUC6IVA==" saltValue="9+JgcEnQwFvUWNricJZzc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x14ac:dyDescent="0.25">
      <c r="A2" s="33" t="s">
        <v>172</v>
      </c>
    </row>
    <row r="3" spans="1:1" x14ac:dyDescent="0.25">
      <c r="A3" s="33" t="s">
        <v>182</v>
      </c>
    </row>
    <row r="4" spans="1:1" x14ac:dyDescent="0.25">
      <c r="A4" s="33" t="s">
        <v>186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xDXl8DG0GSksSWwVNC3K6wFNOOOLByUEVa5GgoEO8BmH2Ufc4+yf+ys8Hr0tcxjKhPCIMJvnqc7mbiCq8VFUPA==" saltValue="/Xk4wUQzCVnql2hcA8r1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5">
      <c r="A3" s="3" t="s">
        <v>209</v>
      </c>
      <c r="B3" s="21">
        <f>frac_mam_1month * 2.6</f>
        <v>0.16152697743265385</v>
      </c>
      <c r="C3" s="21">
        <f>frac_mam_1_5months * 2.6</f>
        <v>0.16152697743265385</v>
      </c>
      <c r="D3" s="21">
        <f>frac_mam_6_11months * 2.6</f>
        <v>0.19540884722875257</v>
      </c>
      <c r="E3" s="21">
        <f>frac_mam_12_23months * 2.6</f>
        <v>0.16192772409020947</v>
      </c>
      <c r="F3" s="21">
        <f>frac_mam_24_59months * 2.6</f>
        <v>8.8786553383986375E-2</v>
      </c>
    </row>
    <row r="4" spans="1:6" ht="15.75" customHeight="1" x14ac:dyDescent="0.25">
      <c r="A4" s="3" t="s">
        <v>208</v>
      </c>
      <c r="B4" s="21">
        <f>frac_sam_1month * 2.6</f>
        <v>0.11818829663407546</v>
      </c>
      <c r="C4" s="21">
        <f>frac_sam_1_5months * 2.6</f>
        <v>0.11818829663407546</v>
      </c>
      <c r="D4" s="21">
        <f>frac_sam_6_11months * 2.6</f>
        <v>0.11117918416731309</v>
      </c>
      <c r="E4" s="21">
        <f>frac_sam_12_23months * 2.6</f>
        <v>8.3837167174186142E-2</v>
      </c>
      <c r="F4" s="21">
        <f>frac_sam_24_59months * 2.6</f>
        <v>4.7825773302257339E-2</v>
      </c>
    </row>
  </sheetData>
  <sheetProtection algorithmName="SHA-512" hashValue="n0Ktwrrofjm9027/5RB4ZSxcqhoiI3nwPMHABWToO1rSSTxaE59Ui2Rn6B2evVKp+LyFldUFy7k3qIneUWT+dQ==" saltValue="R8Hk88sVM+KQNdxM2Hxi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2E-3</v>
      </c>
      <c r="E2" s="60">
        <f>food_insecure</f>
        <v>2E-3</v>
      </c>
      <c r="F2" s="60">
        <f>food_insecure</f>
        <v>2E-3</v>
      </c>
      <c r="G2" s="60">
        <f>food_insecure</f>
        <v>2E-3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2E-3</v>
      </c>
      <c r="F5" s="60">
        <f>food_insecure</f>
        <v>2E-3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2E-3</v>
      </c>
      <c r="F8" s="60">
        <f>food_insecure</f>
        <v>2E-3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2E-3</v>
      </c>
      <c r="F9" s="60">
        <f>food_insecure</f>
        <v>2E-3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0.33700000000000002</v>
      </c>
      <c r="E10" s="60">
        <f>IF(ISBLANK(comm_deliv), frac_children_health_facility,1)</f>
        <v>0.33700000000000002</v>
      </c>
      <c r="F10" s="60">
        <f>IF(ISBLANK(comm_deliv), frac_children_health_facility,1)</f>
        <v>0.33700000000000002</v>
      </c>
      <c r="G10" s="60">
        <f>IF(ISBLANK(comm_deliv), frac_children_health_facility,1)</f>
        <v>0.33700000000000002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2E-3</v>
      </c>
      <c r="I15" s="60">
        <f>food_insecure</f>
        <v>2E-3</v>
      </c>
      <c r="J15" s="60">
        <f>food_insecure</f>
        <v>2E-3</v>
      </c>
      <c r="K15" s="60">
        <f>food_insecure</f>
        <v>2E-3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0.62</v>
      </c>
      <c r="I18" s="60">
        <f>frac_PW_health_facility</f>
        <v>0.62</v>
      </c>
      <c r="J18" s="60">
        <f>frac_PW_health_facility</f>
        <v>0.62</v>
      </c>
      <c r="K18" s="60">
        <f>frac_PW_health_facility</f>
        <v>0.62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0.58099999999999996</v>
      </c>
      <c r="M24" s="60">
        <f>famplan_unmet_need</f>
        <v>0.58099999999999996</v>
      </c>
      <c r="N24" s="60">
        <f>famplan_unmet_need</f>
        <v>0.58099999999999996</v>
      </c>
      <c r="O24" s="60">
        <f>famplan_unmet_need</f>
        <v>0.58099999999999996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6.0375703781127728E-2</v>
      </c>
      <c r="M25" s="60">
        <f>(1-food_insecure)*(0.49)+food_insecure*(0.7)</f>
        <v>0.49042000000000002</v>
      </c>
      <c r="N25" s="60">
        <f>(1-food_insecure)*(0.49)+food_insecure*(0.7)</f>
        <v>0.49042000000000002</v>
      </c>
      <c r="O25" s="60">
        <f>(1-food_insecure)*(0.49)+food_insecure*(0.7)</f>
        <v>0.49042000000000002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2.5875301620483307E-2</v>
      </c>
      <c r="M26" s="60">
        <f>(1-food_insecure)*(0.21)+food_insecure*(0.3)</f>
        <v>0.21017999999999998</v>
      </c>
      <c r="N26" s="60">
        <f>(1-food_insecure)*(0.21)+food_insecure*(0.3)</f>
        <v>0.21017999999999998</v>
      </c>
      <c r="O26" s="60">
        <f>(1-food_insecure)*(0.21)+food_insecure*(0.3)</f>
        <v>0.21017999999999998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3.6859193572997918E-2</v>
      </c>
      <c r="M27" s="60">
        <f>(1-food_insecure)*(0.3)</f>
        <v>0.2994</v>
      </c>
      <c r="N27" s="60">
        <f>(1-food_insecure)*(0.3)</f>
        <v>0.2994</v>
      </c>
      <c r="O27" s="60">
        <f>(1-food_insecure)*(0.3)</f>
        <v>0.2994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0.87688980102539105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aypm1C2YxmVjBdyNRmGQw7EJQt08gwYfW4rZbeG5giKpXEhBCqhj+5UrwWOA6mq22LIznWdbv+KNe4h9UoIWDg==" saltValue="0gHEQQSnMdJtNUIbas2m+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KnjD8nmk68dQ+3dZvTmMfN5wY+TQdFUcVd2ryQEGN6sNPN61n4yRm6a++tStX2Ri6MPkDk2jnqrU2AvU3aYwrA==" saltValue="R+rTz0XDLe7NvtsCZEqd3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8zJMa8AiNXD9Qt0xuljb9/H9W8HBBUnQduzNMNEFcY1KtgHr1hDNIswUsSeFyCqgu+oHlmyA3H88I3jrNl7x/w==" saltValue="V/U/7qZGVY9nJW3xDU/Eg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4Uy0OyZr4SRkW7jnD0aw5QPcQ9ted36Swu6nOn+FR9BPzM8BuvdDfCe0vL73TLywxAuxN/cNCLQwMyesomBU5w==" saltValue="LRdhQlWJrBLOL4F+4xTvx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walMYkWBGlx61+LCeaFbstubBrE7ql9BWOBndsAvLtH0S14wqMHTz++z5YTxqXw/r9sG5RKDuetmtxHyFE370A==" saltValue="E6CRw9Ib7ETezjEj3RgzF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DnBZBEIFepedsBsYagS0pAV2/hFaoPexncO4NYOttqVC6tHzLXcIJ+yeeUReAF+CwnxhbA2pTkIZNFNDtnFiYw==" saltValue="wf6DsxiGtkZv6QOVrPtV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109</v>
      </c>
      <c r="C5" s="8" t="s">
        <v>153</v>
      </c>
      <c r="D5" s="88">
        <f>IF(ISBLANK('Dist. l''allaitement maternel'!$C$2),1.56,(1.56-'Dist. l''allaitement maternel'!$C$2)/(1-'Dist. l''allaitement maternel'!$C$2))</f>
        <v>2.8707544419795639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154</v>
      </c>
      <c r="D6" s="88">
        <f>IF(ISBLANK('Dist. l''allaitement maternel'!$C$2),1.56,(1.56-'Dist. l''allaitement maternel'!$C$2)/(1-'Dist. l''allaitement maternel'!$C$2))</f>
        <v>2.8707544419795639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96</v>
      </c>
      <c r="C8" s="8" t="s">
        <v>153</v>
      </c>
      <c r="D8" s="88">
        <v>1</v>
      </c>
      <c r="E8" s="88">
        <f>IF(ISBLANK('Dist. l''allaitement maternel'!$D$2),1.56,(1.56-'Dist. l''allaitement maternel'!$D$2)/(1-'Dist. l''allaitement maternel'!$D$2))</f>
        <v>2.0758843466613923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154</v>
      </c>
      <c r="D9" s="88">
        <v>1</v>
      </c>
      <c r="E9" s="88">
        <f>IF(ISBLANK('Dist. l''allaitement maternel'!$D$2),1.56,(1.56-'Dist. l''allaitement maternel'!$D$2)/(1-'Dist. l''allaitement maternel'!$D$2))</f>
        <v>2.0758843466613923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IF(ISBLANK('Dist. l''allaitement maternel'!$C$2),1.37,(1.37-'Dist. l''allaitement maternel'!$C$2)/(1-'Dist. l''allaitement maternel'!$C$2))</f>
        <v>2.236034184879355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IF(ISBLANK('Dist. l''allaitement maternel'!$C$2),1.37,(1.37-'Dist. l''allaitement maternel'!$C$2)/(1-'Dist. l''allaitement maternel'!$C$2))</f>
        <v>2.236034184879355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IF(ISBLANK('Dist. l''allaitement maternel'!$D$2),1.37,(1.37-'Dist. l''allaitement maternel'!$D$2)/(1-'Dist. l''allaitement maternel'!$D$2))</f>
        <v>1.7108521576155629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IF(ISBLANK('Dist. l''allaitement maternel'!$D$2),1.37,(1.37-'Dist. l''allaitement maternel'!$D$2)/(1-'Dist. l''allaitement maternel'!$D$2))</f>
        <v>1.7108521576155629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IF(ISBLANK('Dist. l''allaitement maternel'!$C$2),1.77,(1.77-'Dist. l''allaitement maternel'!$C$2)/(1-'Dist. l''allaitement maternel'!$C$2))</f>
        <v>3.5722873577218999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IF(ISBLANK('Dist. l''allaitement maternel'!$C$2),1.77,(1.77-'Dist. l''allaitement maternel'!$C$2)/(1-'Dist. l''allaitement maternel'!$C$2))</f>
        <v>3.5722873577218999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IF(ISBLANK('Dist. l''allaitement maternel'!$D$2),1.77,(1.77-'Dist. l''allaitement maternel'!$D$2)/(1-'Dist. l''allaitement maternel'!$D$2))</f>
        <v>2.4793409766594143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IF(ISBLANK('Dist. l''allaitement maternel'!$D$2),1.77,(1.77-'Dist. l''allaitement maternel'!$D$2)/(1-'Dist. l''allaitement maternel'!$D$2))</f>
        <v>2.4793409766594143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DMGxkRCW/tsX0ifCQ0cAvVo2ObH5HsptEiPkeeV+eNJ3V5MPjqrGJtxKxHxB0ITk2hrKeAe0s1lkhLJvMX70LQ==" saltValue="11PnojOfJ0DCDn8yjD33U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sGeNxRG0gAnrVmPpSzWuZDdz70Qcd7LIPhnfSuRTFgpIAaSVPvLumZA6yH9vniPmzyvG9iVzbExJo5H5SFHKKw==" saltValue="DnmBVge/VSyzB8UksirFI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4XNOIkA1JcIJ/SIe9s/s8+ODxtYA0xA+CeJr1ThGMgnfWnE7qT2Hg+XINQEeK+TbsDGoYwWq4Zg6Aw7AdCwdwg==" saltValue="u3QdS6LIckDKkbvWi94Wy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0.56296131529467452</v>
      </c>
      <c r="F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0.56296131529467452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0.84160984554682261</v>
      </c>
      <c r="F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0.84160984554682261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0.84160984554682261</v>
      </c>
      <c r="F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0.84160984554682261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0.36277569393211007</v>
      </c>
      <c r="F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0.36277569393211007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0.80414832288083471</v>
      </c>
      <c r="F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0.80414832288083471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0.80414832288083471</v>
      </c>
      <c r="F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0.80414832288083471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0.89284839449898412</v>
      </c>
      <c r="F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0.89284839449898412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0.87989751112083237</v>
      </c>
      <c r="F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0.87989751112083237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0.87989751112083237</v>
      </c>
      <c r="F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0.87989751112083237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gjAXWjGDuZN/UIyQKBerUJfqFlJIVRYZnoWIHE+dVXiVWXgOVc9sQtCubmjsHpbsVJhaq/Qkfokl9V7oxVrzRQ==" saltValue="squ8v50Y1B5yJ3pbWqZaD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3aVwVTD9Nt+t9O45skVxqh0cvmNcNfrT6jWi/5BYs0o1mtYKQ9BJa7xyha48TkiLGSe7M6GaM8l6USl0yKjH8Q==" saltValue="0SalPzx969zzADdA6kEqk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0.57238070683144604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0.64494699195677041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0.64494699195677041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0.64513839602555012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0.64513839602555012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0.64513839602555012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0.64513839602555012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0.65853658536585358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0.65853658536585358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0.65853658536585358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0.65853658536585358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0.67555176726612798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0.7386056153445173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0.7386056153445173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0.7387669801462905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0.7387669801462905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0.7387669801462905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0.7387669801462905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0.75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0.75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0.75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0.75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177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179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180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181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182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185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186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189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190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205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174</v>
      </c>
      <c r="C42" s="90">
        <f t="shared" ref="C42:D44" si="14">IF(C19=1,1,C19*0.9)</f>
        <v>1</v>
      </c>
      <c r="D42" s="90">
        <f t="shared" si="14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0.37929352789874538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0.45333175147665916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0.45333175147665916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0.45353892941148527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0.45353892941148527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0.45353892941148527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0.45353892941148527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0.46820809248554918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0.46820809248554918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0.46820809248554918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0.46820809248554918</v>
      </c>
    </row>
    <row r="43" spans="1:15" x14ac:dyDescent="0.25">
      <c r="B43" s="5" t="s">
        <v>175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183</v>
      </c>
      <c r="C44" s="90">
        <f t="shared" si="14"/>
        <v>1</v>
      </c>
      <c r="D44" s="90">
        <f t="shared" si="14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0.54844932786018674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0.62239759026075625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0.62239759026075625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0.6225940369857843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0.6225940369857843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0.6225940369857843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0.6225940369857843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0.63636363636363646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0.63636363636363646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0.63636363636363646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0.63636363636363646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176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177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178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179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180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181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182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185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186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189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190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205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174</v>
      </c>
      <c r="C65" s="90">
        <f t="shared" ref="C65:D67" si="30">IF(C19=1,1,C19*1.05)</f>
        <v>1</v>
      </c>
      <c r="D65" s="90">
        <f t="shared" si="3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0.9439171388192823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0.95805468507793035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0.95805468507793035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0.95808826611156894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0.95808826611156894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0.95808826611156894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0.95808826611156894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0.96039603960396036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0.96039603960396036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0.96039603960396036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0.96039603960396036</v>
      </c>
    </row>
    <row r="66" spans="2:15" x14ac:dyDescent="0.25">
      <c r="B66" s="5" t="s">
        <v>175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183</v>
      </c>
      <c r="C67" s="90">
        <f t="shared" si="30"/>
        <v>1</v>
      </c>
      <c r="D67" s="90">
        <f t="shared" si="3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0.85686062523869433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0.89039541667637634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0.89039541667637634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0.890476972783528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0.890476972783528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0.890476972783528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0.890476972783528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0.89610389610389607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0.89610389610389607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0.89610389610389607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0.89610389610389607</v>
      </c>
    </row>
  </sheetData>
  <sheetProtection algorithmName="SHA-512" hashValue="FhG1Y3ouloXa/6UYyLWdwiI7gvdUL/toIQKhp10QuaLHhYaPD19xoW9YNCsgNeQSABTh05fzKvgg0v30iq7s+g==" saltValue="GC39pHZD2Hc28SBj9Nq3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x14ac:dyDescent="0.25">
      <c r="B3" s="11" t="s">
        <v>161</v>
      </c>
      <c r="C3" s="90">
        <v>1</v>
      </c>
      <c r="D3" s="90">
        <f>IF(ISBLANK('Dist. de l''état nutritionnel'!D$11),0.86,(0.86*'Dist. de l''état nutritionnel'!D$11/(1-0.86*'Dist. de l''état nutritionnel'!D$11))
/ ('Dist. de l''état nutritionnel'!D$11/(1-'Dist. de l''état nutritionnel'!D$11)))</f>
        <v>0.85430431085331948</v>
      </c>
      <c r="E3" s="90">
        <f>IF(ISBLANK('Dist. de l''état nutritionnel'!E$11),0.86,(0.86*'Dist. de l''état nutritionnel'!E$11/(1-0.86*'Dist. de l''état nutritionnel'!E$11))
/ ('Dist. de l''état nutritionnel'!E$11/(1-'Dist. de l''état nutritionnel'!E$11)))</f>
        <v>0.85465498756996416</v>
      </c>
      <c r="F3" s="90">
        <f>IF(ISBLANK('Dist. de l''état nutritionnel'!F$11),0.86,(0.86*'Dist. de l''état nutritionnel'!F$11/(1-0.86*'Dist. de l''état nutritionnel'!F$11))
/ ('Dist. de l''état nutritionnel'!F$11/(1-'Dist. de l''état nutritionnel'!F$11)))</f>
        <v>0.85600696436445123</v>
      </c>
      <c r="G3" s="90">
        <f>IF(ISBLANK('Dist. de l''état nutritionnel'!G$11),0.86,(0.86*'Dist. de l''état nutritionnel'!G$11/(1-0.86*'Dist. de l''état nutritionnel'!G$11))
/ ('Dist. de l''état nutritionnel'!G$11/(1-'Dist. de l''état nutritionnel'!G$11)))</f>
        <v>0.85774970065811029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x14ac:dyDescent="0.25">
      <c r="B5" s="5" t="s">
        <v>165</v>
      </c>
      <c r="C5" s="90">
        <v>1</v>
      </c>
      <c r="D5" s="90">
        <f>IF(ISBLANK('Dist. de l''état nutritionnel'!D$10),0.86,(0.86*'Dist. de l''état nutritionnel'!D$10/(1-0.86*'Dist. de l''état nutritionnel'!D$10))
/ ('Dist. de l''état nutritionnel'!D$10/(1-'Dist. de l''état nutritionnel'!D$10)))</f>
        <v>0.85209786177083624</v>
      </c>
      <c r="E5" s="90">
        <f>IF(ISBLANK('Dist. de l''état nutritionnel'!E$10),0.86,(0.86*'Dist. de l''état nutritionnel'!E$10/(1-0.86*'Dist. de l''état nutritionnel'!E$10))
/ ('Dist. de l''état nutritionnel'!E$10/(1-'Dist. de l''état nutritionnel'!E$10)))</f>
        <v>0.85032577118424801</v>
      </c>
      <c r="F5" s="90">
        <f>IF(ISBLANK('Dist. de l''état nutritionnel'!F$10),0.86,(0.86*'Dist. de l''état nutritionnel'!F$10/(1-0.86*'Dist. de l''état nutritionnel'!F$10))
/ ('Dist. de l''état nutritionnel'!F$10/(1-'Dist. de l''état nutritionnel'!F$10)))</f>
        <v>0.85207714716360516</v>
      </c>
      <c r="G5" s="90">
        <f>IF(ISBLANK('Dist. de l''état nutritionnel'!G$10),0.86,(0.86*'Dist. de l''état nutritionnel'!G$10/(1-0.86*'Dist. de l''état nutritionnel'!G$10))
/ ('Dist. de l''état nutritionnel'!G$10/(1-'Dist. de l''état nutritionnel'!G$10)))</f>
        <v>0.85576410029548378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x14ac:dyDescent="0.25">
      <c r="B10" s="11" t="s">
        <v>161</v>
      </c>
      <c r="C10" s="90">
        <f>C3*0.9</f>
        <v>0.9</v>
      </c>
      <c r="D10" s="90">
        <f>D3*0.9</f>
        <v>0.7688738797679876</v>
      </c>
      <c r="E10" s="90">
        <f>E3*0.9</f>
        <v>0.76918948881296778</v>
      </c>
      <c r="F10" s="90">
        <f>F3*0.9</f>
        <v>0.77040626792800615</v>
      </c>
      <c r="G10" s="90">
        <f>G3*0.9</f>
        <v>0.77197473059229926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x14ac:dyDescent="0.25">
      <c r="B12" s="5" t="s">
        <v>165</v>
      </c>
      <c r="C12" s="90">
        <f>C5*0.9</f>
        <v>0.9</v>
      </c>
      <c r="D12" s="90">
        <f>D5*0.9</f>
        <v>0.76688807559375261</v>
      </c>
      <c r="E12" s="90">
        <f>E5*0.9</f>
        <v>0.76529319406582319</v>
      </c>
      <c r="F12" s="90">
        <f>F5*0.9</f>
        <v>0.7668694324472447</v>
      </c>
      <c r="G12" s="90">
        <f>G5*0.9</f>
        <v>0.77018769026593537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x14ac:dyDescent="0.25">
      <c r="B17" s="11" t="s">
        <v>161</v>
      </c>
      <c r="C17" s="90">
        <f>C3*1.05</f>
        <v>1.05</v>
      </c>
      <c r="D17" s="90">
        <f>D3*1.05</f>
        <v>0.89701952639598548</v>
      </c>
      <c r="E17" s="90">
        <f>E3*1.05</f>
        <v>0.89738773694846241</v>
      </c>
      <c r="F17" s="90">
        <f>F3*1.05</f>
        <v>0.89880731258267388</v>
      </c>
      <c r="G17" s="90">
        <f>G3*1.05</f>
        <v>0.90063718569101581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x14ac:dyDescent="0.25">
      <c r="B19" s="5" t="s">
        <v>165</v>
      </c>
      <c r="C19" s="90">
        <f>C5*1.05</f>
        <v>1.05</v>
      </c>
      <c r="D19" s="90">
        <f>D5*1.05</f>
        <v>0.89470275485937811</v>
      </c>
      <c r="E19" s="90">
        <f>E5*1.05</f>
        <v>0.89284205974346043</v>
      </c>
      <c r="F19" s="90">
        <f>F5*1.05</f>
        <v>0.89468100452178545</v>
      </c>
      <c r="G19" s="90">
        <f>G5*1.05</f>
        <v>0.89855230531025798</v>
      </c>
    </row>
  </sheetData>
  <sheetProtection algorithmName="SHA-512" hashValue="k00lSATeo5Ui5j19SC8U/3EUNV7t5NU0+YShjatcqd37dRTlu4OAYbi2bYDmIGjuoIYM/0ySN+gpwzvjt1p2ZQ==" saltValue="j+bFOCda+seJ336PizyPv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335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336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336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336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336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336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335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336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335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336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336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205</v>
      </c>
      <c r="B68" s="5" t="s">
        <v>208</v>
      </c>
      <c r="C68" s="5" t="s">
        <v>334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336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335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335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335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335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336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335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336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335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336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335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336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335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336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335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336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88</v>
      </c>
      <c r="C100" s="5" t="s">
        <v>334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335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336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335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335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335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335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336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336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209</v>
      </c>
      <c r="C117" s="5" t="s">
        <v>334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336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336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209</v>
      </c>
      <c r="C121" s="5" t="s">
        <v>334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336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336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336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335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335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335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335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336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335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336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335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336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335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336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335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336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335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336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88</v>
      </c>
      <c r="C155" s="5" t="s">
        <v>334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335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336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335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335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335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PEtCAmD6YGutdavEztJn8xhTOU6JHIoZ0P9L/1HyevKoShHUafZt4zzSVD8wLJwIjCm6ljvFG+Xs3w4Rn0uZPQ==" saltValue="L7fYTPeGdUrnaC9Tp/NMu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335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5">
      <c r="A11" s="3" t="s">
        <v>169</v>
      </c>
      <c r="B11" s="8" t="s">
        <v>104</v>
      </c>
      <c r="C11" s="3" t="s">
        <v>334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335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188</v>
      </c>
      <c r="B13" s="8" t="s">
        <v>104</v>
      </c>
      <c r="C13" s="3" t="s">
        <v>334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5">
      <c r="A20" s="3" t="s">
        <v>169</v>
      </c>
      <c r="B20" s="8" t="s">
        <v>104</v>
      </c>
      <c r="C20" s="3" t="s">
        <v>334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335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188</v>
      </c>
      <c r="B22" s="8" t="s">
        <v>104</v>
      </c>
      <c r="C22" s="3" t="s">
        <v>334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187</v>
      </c>
      <c r="B24" s="8" t="s">
        <v>104</v>
      </c>
      <c r="C24" s="3" t="s">
        <v>334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NISqEnRx3EUff8iMR/SGg4Dskg0t2OxI5538Vx2Rd2Kl/y2A3VJJm6VWa3SEckOM+kT7UQUoLkTgOay3pnHHdw==" saltValue="3oAc6M0s9PNf2hNY0pvRI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2024-03-15T03:08:51Z</dcterms:modified>
</cp:coreProperties>
</file>