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F3E6240F-6784-428C-87C7-C9F0EF554F6F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E19" i="26"/>
  <c r="D19" i="26"/>
  <c r="C19" i="26"/>
  <c r="F17" i="26"/>
  <c r="C17" i="26"/>
  <c r="C12" i="26"/>
  <c r="G10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H39" i="2"/>
  <c r="I39" i="2" s="1"/>
  <c r="G39" i="2"/>
  <c r="I38" i="2"/>
  <c r="H38" i="2"/>
  <c r="G38" i="2"/>
  <c r="A17" i="2"/>
  <c r="H11" i="2"/>
  <c r="G11" i="2"/>
  <c r="I11" i="2" s="1"/>
  <c r="H10" i="2"/>
  <c r="G10" i="2"/>
  <c r="H9" i="2"/>
  <c r="G9" i="2"/>
  <c r="I9" i="2" s="1"/>
  <c r="H8" i="2"/>
  <c r="G8" i="2"/>
  <c r="I8" i="2" s="1"/>
  <c r="H7" i="2"/>
  <c r="G7" i="2"/>
  <c r="I7" i="2" s="1"/>
  <c r="H6" i="2"/>
  <c r="G6" i="2"/>
  <c r="H5" i="2"/>
  <c r="G5" i="2"/>
  <c r="I5" i="2" s="1"/>
  <c r="H4" i="2"/>
  <c r="G4" i="2"/>
  <c r="H3" i="2"/>
  <c r="G3" i="2"/>
  <c r="I3" i="2" s="1"/>
  <c r="H2" i="2"/>
  <c r="G2" i="2"/>
  <c r="I2" i="2" s="1"/>
  <c r="A2" i="2"/>
  <c r="A36" i="2" s="1"/>
  <c r="C33" i="1"/>
  <c r="C20" i="1"/>
  <c r="A33" i="2" l="1"/>
  <c r="A18" i="2"/>
  <c r="I6" i="2"/>
  <c r="I10" i="2"/>
  <c r="A21" i="2"/>
  <c r="A37" i="2"/>
  <c r="A34" i="2"/>
  <c r="A38" i="2"/>
  <c r="A26" i="2"/>
  <c r="F12" i="26"/>
  <c r="A3" i="2"/>
  <c r="A4" i="2" s="1"/>
  <c r="A5" i="2" s="1"/>
  <c r="A6" i="2" s="1"/>
  <c r="A7" i="2" s="1"/>
  <c r="A8" i="2" s="1"/>
  <c r="A9" i="2" s="1"/>
  <c r="A10" i="2" s="1"/>
  <c r="A11" i="2" s="1"/>
  <c r="A22" i="2"/>
  <c r="A25" i="2"/>
  <c r="I4" i="2"/>
  <c r="A13" i="2"/>
  <c r="A29" i="2"/>
  <c r="G12" i="26"/>
  <c r="A40" i="2"/>
  <c r="A14" i="2"/>
  <c r="A30" i="2"/>
  <c r="A39" i="2"/>
  <c r="D10" i="26"/>
  <c r="A15" i="2"/>
  <c r="A23" i="2"/>
  <c r="A31" i="2"/>
  <c r="E10" i="26"/>
  <c r="A16" i="2"/>
  <c r="A24" i="2"/>
  <c r="A32" i="2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<sst xmlns="http://schemas.openxmlformats.org/spreadsheetml/2006/main" count="2092" uniqueCount="337">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</sst>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2948879.40625</v>
      </c>
    </row>
    <row r="8" spans="1:3" ht="15" customHeight="1" x14ac:dyDescent="0.25">
      <c r="B8" s="5" t="s">
        <v>19</v>
      </c>
      <c r="C8" s="44">
        <v>0.15</v>
      </c>
    </row>
    <row r="9" spans="1:3" ht="15" customHeight="1" x14ac:dyDescent="0.25">
      <c r="B9" s="5" t="s">
        <v>20</v>
      </c>
      <c r="C9" s="45">
        <v>2.5600000000000001E-2</v>
      </c>
    </row>
    <row r="10" spans="1:3" ht="15" customHeight="1" x14ac:dyDescent="0.25">
      <c r="B10" s="5" t="s">
        <v>21</v>
      </c>
      <c r="C10" s="45">
        <v>0.57262748718261702</v>
      </c>
    </row>
    <row r="11" spans="1:3" ht="15" customHeight="1" x14ac:dyDescent="0.25">
      <c r="B11" s="5" t="s">
        <v>22</v>
      </c>
      <c r="C11" s="45">
        <v>0.69400000000000006</v>
      </c>
    </row>
    <row r="12" spans="1:3" ht="15" customHeight="1" x14ac:dyDescent="0.25">
      <c r="B12" s="5" t="s">
        <v>23</v>
      </c>
      <c r="C12" s="45">
        <v>0.84900000000000009</v>
      </c>
    </row>
    <row r="13" spans="1:3" ht="15" customHeight="1" x14ac:dyDescent="0.25">
      <c r="B13" s="5" t="s">
        <v>24</v>
      </c>
      <c r="C13" s="45">
        <v>0.439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0.1673</v>
      </c>
    </row>
    <row r="24" spans="1:3" ht="15" customHeight="1" x14ac:dyDescent="0.25">
      <c r="B24" s="15" t="s">
        <v>33</v>
      </c>
      <c r="C24" s="45">
        <v>0.62609999999999999</v>
      </c>
    </row>
    <row r="25" spans="1:3" ht="15" customHeight="1" x14ac:dyDescent="0.25">
      <c r="B25" s="15" t="s">
        <v>34</v>
      </c>
      <c r="C25" s="45">
        <v>0.1709</v>
      </c>
    </row>
    <row r="26" spans="1:3" ht="15" customHeight="1" x14ac:dyDescent="0.25">
      <c r="B26" s="15" t="s">
        <v>35</v>
      </c>
      <c r="C26" s="45">
        <v>3.5700000000000003E-2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0.39664624370396601</v>
      </c>
    </row>
    <row r="30" spans="1:3" ht="14.25" customHeight="1" x14ac:dyDescent="0.25">
      <c r="B30" s="25" t="s">
        <v>38</v>
      </c>
      <c r="C30" s="99">
        <v>5.3160938310531598E-2</v>
      </c>
    </row>
    <row r="31" spans="1:3" ht="14.25" customHeight="1" x14ac:dyDescent="0.25">
      <c r="B31" s="25" t="s">
        <v>39</v>
      </c>
      <c r="C31" s="99">
        <v>7.5500634280755E-2</v>
      </c>
    </row>
    <row r="32" spans="1:3" ht="14.25" customHeight="1" x14ac:dyDescent="0.25">
      <c r="B32" s="25" t="s">
        <v>40</v>
      </c>
      <c r="C32" s="99">
        <v>0.47469218370474697</v>
      </c>
    </row>
    <row r="33" spans="1:5" ht="13" customHeight="1" x14ac:dyDescent="0.25">
      <c r="B33" s="27" t="s">
        <v>41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19.779938272721498</v>
      </c>
    </row>
    <row r="38" spans="1:5" ht="15" customHeight="1" x14ac:dyDescent="0.25">
      <c r="B38" s="11" t="s">
        <v>45</v>
      </c>
      <c r="C38" s="43">
        <v>25.618696562971401</v>
      </c>
      <c r="D38" s="12"/>
      <c r="E38" s="13"/>
    </row>
    <row r="39" spans="1:5" ht="15" customHeight="1" x14ac:dyDescent="0.25">
      <c r="B39" s="11" t="s">
        <v>46</v>
      </c>
      <c r="C39" s="43">
        <v>30.792190872791199</v>
      </c>
      <c r="D39" s="12"/>
      <c r="E39" s="12"/>
    </row>
    <row r="40" spans="1:5" ht="15" customHeight="1" x14ac:dyDescent="0.25">
      <c r="B40" s="11" t="s">
        <v>47</v>
      </c>
      <c r="C40" s="100">
        <v>1.86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17.4554297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1.5018999999999999E-2</v>
      </c>
      <c r="D45" s="12"/>
    </row>
    <row r="46" spans="1:5" ht="15.75" customHeight="1" x14ac:dyDescent="0.25">
      <c r="B46" s="11" t="s">
        <v>52</v>
      </c>
      <c r="C46" s="45">
        <v>9.9096600000000007E-2</v>
      </c>
      <c r="D46" s="12"/>
    </row>
    <row r="47" spans="1:5" ht="15.75" customHeight="1" x14ac:dyDescent="0.25">
      <c r="B47" s="11" t="s">
        <v>53</v>
      </c>
      <c r="C47" s="45">
        <v>0.37001590000000001</v>
      </c>
      <c r="D47" s="12"/>
      <c r="E47" s="13"/>
    </row>
    <row r="48" spans="1:5" ht="15" customHeight="1" x14ac:dyDescent="0.25">
      <c r="B48" s="11" t="s">
        <v>54</v>
      </c>
      <c r="C48" s="46">
        <v>0.51586849999999995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2.4</v>
      </c>
      <c r="D51" s="12"/>
    </row>
    <row r="52" spans="1:4" ht="15" customHeight="1" x14ac:dyDescent="0.25">
      <c r="B52" s="11" t="s">
        <v>57</v>
      </c>
      <c r="C52" s="100">
        <v>2.4</v>
      </c>
    </row>
    <row r="53" spans="1:4" ht="15.75" customHeight="1" x14ac:dyDescent="0.25">
      <c r="B53" s="11" t="s">
        <v>58</v>
      </c>
      <c r="C53" s="100">
        <v>2.4</v>
      </c>
    </row>
    <row r="54" spans="1:4" ht="15.75" customHeight="1" x14ac:dyDescent="0.25">
      <c r="B54" s="11" t="s">
        <v>59</v>
      </c>
      <c r="C54" s="100">
        <v>2.4</v>
      </c>
    </row>
    <row r="55" spans="1:4" ht="15.75" customHeight="1" x14ac:dyDescent="0.25">
      <c r="B55" s="11" t="s">
        <v>60</v>
      </c>
      <c r="C55" s="100">
        <v>2.4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2.1666666666666671E-2</v>
      </c>
    </row>
    <row r="59" spans="1:4" ht="15.75" customHeight="1" x14ac:dyDescent="0.25">
      <c r="B59" s="11" t="s">
        <v>63</v>
      </c>
      <c r="C59" s="45">
        <v>0.50705099999999992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0.21813127999999901</v>
      </c>
    </row>
    <row r="63" spans="1:4" ht="15.75" customHeight="1" x14ac:dyDescent="0.3">
      <c r="A63" s="4"/>
    </row>
  </sheetData>
  <sheetProtection algorithmName="SHA-512" hashValue="2zcPg/pyRX4szffdl7YkeWFJ0o2r/nkVrga/1xat5D1LcgUkqZxj5UlAEKtkoHqPC0F1HDTyk5O+5szzCuEeeg==" saltValue="mq4+X7qZ62VFWM93RHwe7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0.44258721559001901</v>
      </c>
      <c r="C2" s="98">
        <v>0.95</v>
      </c>
      <c r="D2" s="56">
        <v>36.247519202644909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44.666649407350029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72.912225149850372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1.223649899572512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14.191711276470389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14.191711276470389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14.191711276470389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14.191711276470389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14.191711276470389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14.191711276470389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0.49399923843919402</v>
      </c>
      <c r="C16" s="98">
        <v>0.95</v>
      </c>
      <c r="D16" s="56">
        <v>0.2479965587591009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1.783669753024828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1.783669753024828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0.70310981750000001</v>
      </c>
      <c r="C21" s="98">
        <v>0.95</v>
      </c>
      <c r="D21" s="56">
        <v>9.0332234091804775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24.192824415868039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0.16832067489999999</v>
      </c>
      <c r="C23" s="98">
        <v>0.95</v>
      </c>
      <c r="D23" s="56">
        <v>4.6601859455142458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0.69017188258597206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0.47844153398485301</v>
      </c>
      <c r="C27" s="98">
        <v>0.95</v>
      </c>
      <c r="D27" s="56">
        <v>20.497190899555481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0.59530632019999996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63.934132245620098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9.1000000000000004E-3</v>
      </c>
      <c r="C31" s="98">
        <v>0.95</v>
      </c>
      <c r="D31" s="56">
        <v>1.2528760783438719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0.58612727999999992</v>
      </c>
      <c r="C32" s="98">
        <v>0.95</v>
      </c>
      <c r="D32" s="56">
        <v>0.47412256872115971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0.62053595449258603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0.76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0.37915290829999998</v>
      </c>
      <c r="C38" s="98">
        <v>0.95</v>
      </c>
      <c r="D38" s="56">
        <v>2.060337016073285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0.39709548950000001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2fTjxNUFlIiV57WxxhAIORMd/gNRdybxkR9WxQ8bnbJjQd7qf+xJFhKrTaemgaNBKf1ZRJipXIMftVK064HE5Q==" saltValue="6GY1XmwtxMdD/5THMC/RW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9tJJIWI9ydh1Wh0FtUZ4X0mfOtCElTW0UzaVjydoLCasxnwhuPNdbPziPjIUot7FSNE1vy9HP7nXTQfDRTxljg==" saltValue="BrvZxY+j73cFrMnBETYTC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rPmzEkUFgUxQUT2Am7y22WwfAAvQ527p/k25tOo9Xx/O3j5mzNZIU0qzDgFHFDFGi67XbInfDdR6MOi4D5CqfQ==" saltValue="Xss3AgQQYfEfZpcmjxkpN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2.4</v>
      </c>
      <c r="C2" s="21">
        <f>'Données pop de l''année de ref'!C52</f>
        <v>2.4</v>
      </c>
      <c r="D2" s="21">
        <f>'Données pop de l''année de ref'!C53</f>
        <v>2.4</v>
      </c>
      <c r="E2" s="21">
        <f>'Données pop de l''année de ref'!C54</f>
        <v>2.4</v>
      </c>
      <c r="F2" s="21">
        <f>'Données pop de l''année de ref'!C55</f>
        <v>2.4</v>
      </c>
    </row>
    <row r="3" spans="1:6" ht="15.75" customHeight="1" x14ac:dyDescent="0.25">
      <c r="A3" s="3" t="s">
        <v>209</v>
      </c>
      <c r="B3" s="21">
        <f>frac_mam_1month * 2.6</f>
        <v>0.286367172</v>
      </c>
      <c r="C3" s="21">
        <f>frac_mam_1_5months * 2.6</f>
        <v>0.286367172</v>
      </c>
      <c r="D3" s="21">
        <f>frac_mam_6_11months * 2.6</f>
        <v>0.267502352</v>
      </c>
      <c r="E3" s="21">
        <f>frac_mam_12_23months * 2.6</f>
        <v>0.278405348</v>
      </c>
      <c r="F3" s="21">
        <f>frac_mam_24_59months * 2.6</f>
        <v>0.20934607460000004</v>
      </c>
    </row>
    <row r="4" spans="1:6" ht="15.75" customHeight="1" x14ac:dyDescent="0.25">
      <c r="A4" s="3" t="s">
        <v>208</v>
      </c>
      <c r="B4" s="21">
        <f>frac_sam_1month * 2.6</f>
        <v>0.12269331360000001</v>
      </c>
      <c r="C4" s="21">
        <f>frac_sam_1_5months * 2.6</f>
        <v>0.12269331360000001</v>
      </c>
      <c r="D4" s="21">
        <f>frac_sam_6_11months * 2.6</f>
        <v>0.12628498479999997</v>
      </c>
      <c r="E4" s="21">
        <f>frac_sam_12_23months * 2.6</f>
        <v>9.5964034400000009E-2</v>
      </c>
      <c r="F4" s="21">
        <f>frac_sam_24_59months * 2.6</f>
        <v>5.5895681400000008E-2</v>
      </c>
    </row>
  </sheetData>
  <sheetProtection algorithmName="SHA-512" hashValue="UxB6VKiwZeq96pwM0e3RFbqwjYJ+0GMo1Gfkf//JAutibqtY3mF84ARWhw337uZ8No9BvZ5vJNJsMLIxGQxlXw==" saltValue="YC3DB9iCSJe3lR9mRMRG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0.15</v>
      </c>
      <c r="E2" s="60">
        <f>food_insecure</f>
        <v>0.15</v>
      </c>
      <c r="F2" s="60">
        <f>food_insecure</f>
        <v>0.15</v>
      </c>
      <c r="G2" s="60">
        <f>food_insecure</f>
        <v>0.15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0.15</v>
      </c>
      <c r="F5" s="60">
        <f>food_insecure</f>
        <v>0.15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0.15</v>
      </c>
      <c r="F8" s="60">
        <f>food_insecure</f>
        <v>0.15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0.15</v>
      </c>
      <c r="F9" s="60">
        <f>food_insecure</f>
        <v>0.15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0.84900000000000009</v>
      </c>
      <c r="E10" s="60">
        <f>IF(ISBLANK(comm_deliv), frac_children_health_facility,1)</f>
        <v>0.84900000000000009</v>
      </c>
      <c r="F10" s="60">
        <f>IF(ISBLANK(comm_deliv), frac_children_health_facility,1)</f>
        <v>0.84900000000000009</v>
      </c>
      <c r="G10" s="60">
        <f>IF(ISBLANK(comm_deliv), frac_children_health_facility,1)</f>
        <v>0.84900000000000009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0.15</v>
      </c>
      <c r="I15" s="60">
        <f>food_insecure</f>
        <v>0.15</v>
      </c>
      <c r="J15" s="60">
        <f>food_insecure</f>
        <v>0.15</v>
      </c>
      <c r="K15" s="60">
        <f>food_insecure</f>
        <v>0.15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0.69400000000000006</v>
      </c>
      <c r="I18" s="60">
        <f>frac_PW_health_facility</f>
        <v>0.69400000000000006</v>
      </c>
      <c r="J18" s="60">
        <f>frac_PW_health_facility</f>
        <v>0.69400000000000006</v>
      </c>
      <c r="K18" s="60">
        <f>frac_PW_health_facility</f>
        <v>0.69400000000000006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2.5600000000000001E-2</v>
      </c>
      <c r="I19" s="60">
        <f>frac_malaria_risk</f>
        <v>2.5600000000000001E-2</v>
      </c>
      <c r="J19" s="60">
        <f>frac_malaria_risk</f>
        <v>2.5600000000000001E-2</v>
      </c>
      <c r="K19" s="60">
        <f>frac_malaria_risk</f>
        <v>2.5600000000000001E-2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0.439</v>
      </c>
      <c r="M24" s="60">
        <f>famplan_unmet_need</f>
        <v>0.439</v>
      </c>
      <c r="N24" s="60">
        <f>famplan_unmet_need</f>
        <v>0.439</v>
      </c>
      <c r="O24" s="60">
        <f>famplan_unmet_need</f>
        <v>0.439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0.22287476543426521</v>
      </c>
      <c r="M25" s="60">
        <f>(1-food_insecure)*(0.49)+food_insecure*(0.7)</f>
        <v>0.52149999999999996</v>
      </c>
      <c r="N25" s="60">
        <f>(1-food_insecure)*(0.49)+food_insecure*(0.7)</f>
        <v>0.52149999999999996</v>
      </c>
      <c r="O25" s="60">
        <f>(1-food_insecure)*(0.49)+food_insecure*(0.7)</f>
        <v>0.52149999999999996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9.551775661468509E-2</v>
      </c>
      <c r="M26" s="60">
        <f>(1-food_insecure)*(0.21)+food_insecure*(0.3)</f>
        <v>0.22349999999999998</v>
      </c>
      <c r="N26" s="60">
        <f>(1-food_insecure)*(0.21)+food_insecure*(0.3)</f>
        <v>0.22349999999999998</v>
      </c>
      <c r="O26" s="60">
        <f>(1-food_insecure)*(0.21)+food_insecure*(0.3)</f>
        <v>0.22349999999999998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0.10897999076843266</v>
      </c>
      <c r="M27" s="60">
        <f>(1-food_insecure)*(0.3)</f>
        <v>0.255</v>
      </c>
      <c r="N27" s="60">
        <f>(1-food_insecure)*(0.3)</f>
        <v>0.255</v>
      </c>
      <c r="O27" s="60">
        <f>(1-food_insecure)*(0.3)</f>
        <v>0.255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0.57262748718261702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2.5600000000000001E-2</v>
      </c>
      <c r="D34" s="60">
        <f t="shared" si="3"/>
        <v>2.5600000000000001E-2</v>
      </c>
      <c r="E34" s="60">
        <f t="shared" si="3"/>
        <v>2.5600000000000001E-2</v>
      </c>
      <c r="F34" s="60">
        <f t="shared" si="3"/>
        <v>2.5600000000000001E-2</v>
      </c>
      <c r="G34" s="60">
        <f t="shared" si="3"/>
        <v>2.5600000000000001E-2</v>
      </c>
      <c r="H34" s="60">
        <f t="shared" si="3"/>
        <v>2.5600000000000001E-2</v>
      </c>
      <c r="I34" s="60">
        <f t="shared" si="3"/>
        <v>2.5600000000000001E-2</v>
      </c>
      <c r="J34" s="60">
        <f t="shared" si="3"/>
        <v>2.5600000000000001E-2</v>
      </c>
      <c r="K34" s="60">
        <f t="shared" si="3"/>
        <v>2.5600000000000001E-2</v>
      </c>
      <c r="L34" s="60">
        <f t="shared" si="3"/>
        <v>2.5600000000000001E-2</v>
      </c>
      <c r="M34" s="60">
        <f t="shared" si="3"/>
        <v>2.5600000000000001E-2</v>
      </c>
      <c r="N34" s="60">
        <f t="shared" si="3"/>
        <v>2.5600000000000001E-2</v>
      </c>
      <c r="O34" s="60">
        <f t="shared" si="3"/>
        <v>2.5600000000000001E-2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IHNS5yqjJvh3XxQ/2rrnPziapL0pXyyxcqejNQIJ84iyEwBoB2IXoolkvSLTSiGPfrHYjCTHNZpFI0f2+dzi5A==" saltValue="IzInJpEfaioRkPrH5y1hf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ZTfMaJ+vpjRWbz0QJbbd3H1p8PDvnm8QYgJk4qQnk82lryi67So4vYxxAtGdhXRb1A44mT6z6gPaCoV8VS7KZQ==" saltValue="ATBg95oRHOw381w/7Dc4U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YG5LEk7TX5baf7IzalmgpUazC8WAtSjkUjzyeZZmWKEgyVOjC2MCAr3x/6/8yvgG6knSVoSJa7IytW4eqQxkBA==" saltValue="QFMJuzNOnuIf/ai32Y5ir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8ZZNOBTmDJrcDmlb3O+VlTHhmg/fiyFeWTDA/T2z5dXWq4sIOSOWNQ5AJclheo2+PCYuOkauCRd4US7UfXzYvg==" saltValue="FduVnvKBHMDQOa1m2Ngg6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cyEYFg/RvXTVEM1kDOEiPuhupCUyzKgGVmk2kGvqoluB38hPWjMpJz9IMgWid2/qm4BsKvq6TdSDvs0ry6OSlg==" saltValue="FgTvE9laapo+JWOafruOH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FX/TbF18ebOhtYWnQ5nrk44Sxh4LbAFmczIavYV7lVdXceKYV6HxEGH4/5scrFpdb0RTxGIdqfx8230r/b14og==" saltValue="uY+G9Vlx+P9IJPad7MS98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565326.06400000001</v>
      </c>
      <c r="C2" s="49">
        <v>1570000</v>
      </c>
      <c r="D2" s="49">
        <v>2965000</v>
      </c>
      <c r="E2" s="49">
        <v>2410000</v>
      </c>
      <c r="F2" s="49">
        <v>1810000</v>
      </c>
      <c r="G2" s="17">
        <f t="shared" ref="G2:G11" si="0">C2+D2+E2+F2</f>
        <v>8755000</v>
      </c>
      <c r="H2" s="17">
        <f t="shared" ref="H2:H11" si="1">(B2 + stillbirth*B2/(1000-stillbirth))/(1-abortion)</f>
        <v>653828.84526249347</v>
      </c>
      <c r="I2" s="17">
        <f t="shared" ref="I2:I11" si="2">G2-H2</f>
        <v>8101171.1547375061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561516.625</v>
      </c>
      <c r="C3" s="50">
        <v>1554000</v>
      </c>
      <c r="D3" s="50">
        <v>2996000</v>
      </c>
      <c r="E3" s="50">
        <v>2465000</v>
      </c>
      <c r="F3" s="50">
        <v>1866000</v>
      </c>
      <c r="G3" s="17">
        <f t="shared" si="0"/>
        <v>8881000</v>
      </c>
      <c r="H3" s="17">
        <f t="shared" si="1"/>
        <v>649423.03194328328</v>
      </c>
      <c r="I3" s="17">
        <f t="shared" si="2"/>
        <v>8231576.968056717</v>
      </c>
    </row>
    <row r="4" spans="1:9" ht="15.75" customHeight="1" x14ac:dyDescent="0.25">
      <c r="A4" s="5">
        <f t="shared" si="3"/>
        <v>2023</v>
      </c>
      <c r="B4" s="49">
        <v>557437.29599999997</v>
      </c>
      <c r="C4" s="50">
        <v>1535000</v>
      </c>
      <c r="D4" s="50">
        <v>3019000</v>
      </c>
      <c r="E4" s="50">
        <v>2520000</v>
      </c>
      <c r="F4" s="50">
        <v>1923000</v>
      </c>
      <c r="G4" s="17">
        <f t="shared" si="0"/>
        <v>8997000</v>
      </c>
      <c r="H4" s="17">
        <f t="shared" si="1"/>
        <v>644705.07687387778</v>
      </c>
      <c r="I4" s="17">
        <f t="shared" si="2"/>
        <v>8352294.923126122</v>
      </c>
    </row>
    <row r="5" spans="1:9" ht="15.75" customHeight="1" x14ac:dyDescent="0.25">
      <c r="A5" s="5">
        <f t="shared" si="3"/>
        <v>2024</v>
      </c>
      <c r="B5" s="49">
        <v>553056.7350000001</v>
      </c>
      <c r="C5" s="50">
        <v>1512000</v>
      </c>
      <c r="D5" s="50">
        <v>3032000</v>
      </c>
      <c r="E5" s="50">
        <v>2575000</v>
      </c>
      <c r="F5" s="50">
        <v>1980000</v>
      </c>
      <c r="G5" s="17">
        <f t="shared" si="0"/>
        <v>9099000</v>
      </c>
      <c r="H5" s="17">
        <f t="shared" si="1"/>
        <v>639638.73140951607</v>
      </c>
      <c r="I5" s="17">
        <f t="shared" si="2"/>
        <v>8459361.2685904838</v>
      </c>
    </row>
    <row r="6" spans="1:9" ht="15.75" customHeight="1" x14ac:dyDescent="0.25">
      <c r="A6" s="5">
        <f t="shared" si="3"/>
        <v>2025</v>
      </c>
      <c r="B6" s="49">
        <v>548346.10400000005</v>
      </c>
      <c r="C6" s="50">
        <v>1484000</v>
      </c>
      <c r="D6" s="50">
        <v>3031000</v>
      </c>
      <c r="E6" s="50">
        <v>2627000</v>
      </c>
      <c r="F6" s="50">
        <v>2036000</v>
      </c>
      <c r="G6" s="17">
        <f t="shared" si="0"/>
        <v>9178000</v>
      </c>
      <c r="H6" s="17">
        <f t="shared" si="1"/>
        <v>634190.64291100367</v>
      </c>
      <c r="I6" s="17">
        <f t="shared" si="2"/>
        <v>8543809.3570889961</v>
      </c>
    </row>
    <row r="7" spans="1:9" ht="15.75" customHeight="1" x14ac:dyDescent="0.25">
      <c r="A7" s="5">
        <f t="shared" si="3"/>
        <v>2026</v>
      </c>
      <c r="B7" s="49">
        <v>541440.38080000004</v>
      </c>
      <c r="C7" s="50">
        <v>1448000</v>
      </c>
      <c r="D7" s="50">
        <v>3032000</v>
      </c>
      <c r="E7" s="50">
        <v>2682000</v>
      </c>
      <c r="F7" s="50">
        <v>2091000</v>
      </c>
      <c r="G7" s="17">
        <f t="shared" si="0"/>
        <v>9253000</v>
      </c>
      <c r="H7" s="17">
        <f t="shared" si="1"/>
        <v>626203.81670028355</v>
      </c>
      <c r="I7" s="17">
        <f t="shared" si="2"/>
        <v>8626796.1832997166</v>
      </c>
    </row>
    <row r="8" spans="1:9" ht="15.75" customHeight="1" x14ac:dyDescent="0.25">
      <c r="A8" s="5">
        <f t="shared" si="3"/>
        <v>2027</v>
      </c>
      <c r="B8" s="49">
        <v>534171.14400000009</v>
      </c>
      <c r="C8" s="50">
        <v>1406000</v>
      </c>
      <c r="D8" s="50">
        <v>3022000</v>
      </c>
      <c r="E8" s="50">
        <v>2733000</v>
      </c>
      <c r="F8" s="50">
        <v>2148000</v>
      </c>
      <c r="G8" s="17">
        <f t="shared" si="0"/>
        <v>9309000</v>
      </c>
      <c r="H8" s="17">
        <f t="shared" si="1"/>
        <v>617796.56820150639</v>
      </c>
      <c r="I8" s="17">
        <f t="shared" si="2"/>
        <v>8691203.4317984935</v>
      </c>
    </row>
    <row r="9" spans="1:9" ht="15.75" customHeight="1" x14ac:dyDescent="0.25">
      <c r="A9" s="5">
        <f t="shared" si="3"/>
        <v>2028</v>
      </c>
      <c r="B9" s="49">
        <v>526548.40520000015</v>
      </c>
      <c r="C9" s="50">
        <v>1362000</v>
      </c>
      <c r="D9" s="50">
        <v>3000000</v>
      </c>
      <c r="E9" s="50">
        <v>2781000</v>
      </c>
      <c r="F9" s="50">
        <v>2202000</v>
      </c>
      <c r="G9" s="17">
        <f t="shared" si="0"/>
        <v>9345000</v>
      </c>
      <c r="H9" s="17">
        <f t="shared" si="1"/>
        <v>608980.47634811269</v>
      </c>
      <c r="I9" s="17">
        <f t="shared" si="2"/>
        <v>8736019.5236518867</v>
      </c>
    </row>
    <row r="10" spans="1:9" ht="15.75" customHeight="1" x14ac:dyDescent="0.25">
      <c r="A10" s="5">
        <f t="shared" si="3"/>
        <v>2029</v>
      </c>
      <c r="B10" s="49">
        <v>518550.67040000012</v>
      </c>
      <c r="C10" s="50">
        <v>1326000</v>
      </c>
      <c r="D10" s="50">
        <v>2966000</v>
      </c>
      <c r="E10" s="50">
        <v>2827000</v>
      </c>
      <c r="F10" s="50">
        <v>2257000</v>
      </c>
      <c r="G10" s="17">
        <f t="shared" si="0"/>
        <v>9376000</v>
      </c>
      <c r="H10" s="17">
        <f t="shared" si="1"/>
        <v>599730.68221691612</v>
      </c>
      <c r="I10" s="17">
        <f t="shared" si="2"/>
        <v>8776269.3177830838</v>
      </c>
    </row>
    <row r="11" spans="1:9" ht="15.75" customHeight="1" x14ac:dyDescent="0.25">
      <c r="A11" s="5">
        <f t="shared" si="3"/>
        <v>2030</v>
      </c>
      <c r="B11" s="49">
        <v>510190.17599999998</v>
      </c>
      <c r="C11" s="50">
        <v>1303000</v>
      </c>
      <c r="D11" s="50">
        <v>2921000</v>
      </c>
      <c r="E11" s="50">
        <v>2865000</v>
      </c>
      <c r="F11" s="50">
        <v>2312000</v>
      </c>
      <c r="G11" s="17">
        <f t="shared" si="0"/>
        <v>9401000</v>
      </c>
      <c r="H11" s="17">
        <f t="shared" si="1"/>
        <v>590061.3378376771</v>
      </c>
      <c r="I11" s="17">
        <f t="shared" si="2"/>
        <v>8810938.6621623226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QKltjGaSnfY4HGsFBo9y+4ER7iyBLGdbNS3CwmJwjUtpV1VgpOK27SOQvTNhHmHmgNVaVDpbPNhVI15JM8Ypg==" saltValue="pVDRvy2smpgTZgWmAhZ2M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4.3074932411685696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4.3074932411685696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2.35307299306898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2.35307299306898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3.1853080343435196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3.1853080343435196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1.893994656134862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1.893994656134862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5.5478032066067824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5.5478032066067824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2.8604753654698474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2.8604753654698474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EOzNIqUEVsN28ucJ/sB8JWkf39Fj+LsfAU6ys/FTbgcIgGIsajs7vCQwr2mR59//1Lb+hBJ/jTQN5yXuYrNHmg==" saltValue="7l2onEaTtvuiXGgTop54l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qWjIYAoS8bqm4+Sv2E9XvW/cELb4VmhWIN6lpuH1eYmbEY/UPJX0/MBoUawaBACDEh24yZBEE3oJEOPaHM9Kcw==" saltValue="Y1MpR9/1BevcWg2ByFZy2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pjb3VWClbheUgn7UO6FxNpmbFxjWPrfIWS6dROwN2548bHditsH+98FmA+uqXyPzom2MhTYey4Ki6WN6jUxVog==" saltValue="HFhRrYj3crEM0D/TMGAGb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0.59144058214160633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0.59144058214160633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0.85655783133170416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0.85655783133170416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0.85655783133170416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0.85655783133170416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0.39016889467390159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0.39016889467390159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0.82188349291511076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0.82188349291511076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0.82188349291511076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0.82188349291511076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0.90351513968727704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0.90351513968727704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0.89169710796973334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0.89169710796973334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0.89169710796973334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0.89169710796973334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Hw7Wc1yWTUZquxBtveyW5DwmKPJXk+5K2tfnBCeeSwEuMIGaCj+wHgygydTOeX8nrFAMeoB3PVzA3jIBTYw4Fg==" saltValue="44XvVN5EVzGy0qEuXpIRG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rzFEmPhoh1C4q2uGcLm5/H4NxbK1Z6NUja6fInd9g4j2H4rtE5GMU2I9XG99tcWBP47Rh5odVHAqtRMDR+CmYQ==" saltValue="RZTPfw1OVkMMmDMRqtvOz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0.3377923762880265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0.57493642226433728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0.57493642226433728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0.60674157303370779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0.60674157303370779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0.60674157303370779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0.60674157303370779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0.62602842183994012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0.62602842183994012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0.62602842183994012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0.62602842183994012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0.44242774185992473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0.67783792746977678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0.67783792746977678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0.70588235294117663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0.70588235294117663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0.70588235294117663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0.70588235294117663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0.72253052164261944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0.72253052164261944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0.72253052164261944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0.72253052164261944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0.18888573829814775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0.38175677744708264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0.38175677744708264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0.41326530612244899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0.41326530612244899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0.41326530612244899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0.41326530612244899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0.43317642999728911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0.43317642999728911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0.43317642999728911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0.43317642999728911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0.31641173705250425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0.55103588308819462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0.55103588308819462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0.58333333333333315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0.58333333333333315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0.58333333333333315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0.58333333333333315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0.60301707026597851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0.60301707026597851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0.60301707026597851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0.60301707026597851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0.86512077565046597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0.94446775970599406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0.94446775970599406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0.95098039215686281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0.95098039215686281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0.95098039215686281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0.95098039215686281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0.9546464692276293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0.9546464692276293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0.9546464692276293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0.9546464692276293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0.69524110095379354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0.85813750905698682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0.85813750905698682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0.87341772151898756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0.87341772151898756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0.87341772151898756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0.87341772151898756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0.88216579272962947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0.88216579272962947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0.88216579272962947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0.88216579272962947</v>
      </c>
    </row>
  </sheetData>
  <sheetProtection algorithmName="SHA-512" hashValue="B9w4y0bDu+HhHImxK1Dg5h6SZqK/ivmcM3JEsesCHfQvNwKl8+FEkM3uZRCArwBDNUowTTLKdLk+D9NtYv/TEg==" saltValue="G+6nsc5i6ugtVpHhq03ux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0.85407802317588166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0.85389710876820735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0.85541044561739943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0.85736284271324159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0.84535146682059226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0.84641013073301108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0.84580004659508445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0.84958443832291008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0.76867022085829351</v>
      </c>
      <c r="E10" s="90">
        <f>E3*0.9</f>
        <v>0.76850739789138667</v>
      </c>
      <c r="F10" s="90">
        <f>F3*0.9</f>
        <v>0.76986940105565949</v>
      </c>
      <c r="G10" s="90">
        <f>G3*0.9</f>
        <v>0.77162655844191741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0.76081632013853306</v>
      </c>
      <c r="E12" s="90">
        <f>E5*0.9</f>
        <v>0.76176911765971</v>
      </c>
      <c r="F12" s="90">
        <f>F5*0.9</f>
        <v>0.76122004193557602</v>
      </c>
      <c r="G12" s="90">
        <f>G5*0.9</f>
        <v>0.76462599449061908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0.89678192433467574</v>
      </c>
      <c r="E17" s="90">
        <f>E3*1.05</f>
        <v>0.8965919642066178</v>
      </c>
      <c r="F17" s="90">
        <f>F3*1.05</f>
        <v>0.8981809678982694</v>
      </c>
      <c r="G17" s="90">
        <f>G3*1.05</f>
        <v>0.90023098484890374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0.88761904016162185</v>
      </c>
      <c r="E19" s="90">
        <f>E5*1.05</f>
        <v>0.88873063726966162</v>
      </c>
      <c r="F19" s="90">
        <f>F5*1.05</f>
        <v>0.88809004892483867</v>
      </c>
      <c r="G19" s="90">
        <f>G5*1.05</f>
        <v>0.89206366023905559</v>
      </c>
    </row>
  </sheetData>
  <sheetProtection algorithmName="SHA-512" hashValue="Sgssknxhp8JuUfAcfBCYK3Uj/wvYZYPgjh5laxeWcqMy4OsRcgIj6rODiHnX3SM23+yf/6NJfwGWqp6l+pGQbw==" saltValue="VK8Uabkz5WLf88BOXaF6n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RXzz6v2nPFVaEstKP2CFAJjuqBW5ho4IY90gcZL5G/xzKK0tf/QiJoan5njpS8QvmLF3Mi8Ve/zChI3YV6VQ0Q==" saltValue="i5hfxH77pvKVnidqvsUq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KBJz+fhANKbKXdbqYGVTHp2siLs5zDrhuEhoPj425hwhOV6XN7yjTH38pTJlh9o8Y7SYiG7XbJP0ZKRTeeGGJQ==" saltValue="Dy+iHmyMk5YzXLEpTl9rg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6.4333244558641197E-3</v>
      </c>
    </row>
    <row r="4" spans="1:8" ht="15.75" customHeight="1" x14ac:dyDescent="0.25">
      <c r="B4" s="19" t="s">
        <v>79</v>
      </c>
      <c r="C4" s="101">
        <v>0.15904549948856239</v>
      </c>
    </row>
    <row r="5" spans="1:8" ht="15.75" customHeight="1" x14ac:dyDescent="0.25">
      <c r="B5" s="19" t="s">
        <v>80</v>
      </c>
      <c r="C5" s="101">
        <v>5.8302992070967737E-2</v>
      </c>
    </row>
    <row r="6" spans="1:8" ht="15.75" customHeight="1" x14ac:dyDescent="0.25">
      <c r="B6" s="19" t="s">
        <v>81</v>
      </c>
      <c r="C6" s="101">
        <v>0.2286118697475612</v>
      </c>
    </row>
    <row r="7" spans="1:8" ht="15.75" customHeight="1" x14ac:dyDescent="0.25">
      <c r="B7" s="19" t="s">
        <v>82</v>
      </c>
      <c r="C7" s="101">
        <v>0.33446188393416798</v>
      </c>
    </row>
    <row r="8" spans="1:8" ht="15.75" customHeight="1" x14ac:dyDescent="0.25">
      <c r="B8" s="19" t="s">
        <v>83</v>
      </c>
      <c r="C8" s="101">
        <v>6.2025858391936252E-3</v>
      </c>
    </row>
    <row r="9" spans="1:8" ht="15.75" customHeight="1" x14ac:dyDescent="0.25">
      <c r="B9" s="19" t="s">
        <v>84</v>
      </c>
      <c r="C9" s="101">
        <v>0.13095877111869419</v>
      </c>
    </row>
    <row r="10" spans="1:8" ht="15.75" customHeight="1" x14ac:dyDescent="0.25">
      <c r="B10" s="19" t="s">
        <v>85</v>
      </c>
      <c r="C10" s="101">
        <v>7.598307334498848E-2</v>
      </c>
    </row>
    <row r="11" spans="1:8" ht="15.75" customHeight="1" x14ac:dyDescent="0.25">
      <c r="B11" s="27" t="s">
        <v>41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0.15321348525465009</v>
      </c>
      <c r="D14" s="55">
        <v>0.15321348525465009</v>
      </c>
      <c r="E14" s="55">
        <v>0.15321348525465009</v>
      </c>
      <c r="F14" s="55">
        <v>0.15321348525465009</v>
      </c>
    </row>
    <row r="15" spans="1:8" ht="15.75" customHeight="1" x14ac:dyDescent="0.25">
      <c r="B15" s="19" t="s">
        <v>88</v>
      </c>
      <c r="C15" s="101">
        <v>0.2483146274519738</v>
      </c>
      <c r="D15" s="101">
        <v>0.2483146274519738</v>
      </c>
      <c r="E15" s="101">
        <v>0.2483146274519738</v>
      </c>
      <c r="F15" s="101">
        <v>0.2483146274519738</v>
      </c>
    </row>
    <row r="16" spans="1:8" ht="15.75" customHeight="1" x14ac:dyDescent="0.25">
      <c r="B16" s="19" t="s">
        <v>89</v>
      </c>
      <c r="C16" s="101">
        <v>2.807801387896397E-2</v>
      </c>
      <c r="D16" s="101">
        <v>2.807801387896397E-2</v>
      </c>
      <c r="E16" s="101">
        <v>2.807801387896397E-2</v>
      </c>
      <c r="F16" s="101">
        <v>2.807801387896397E-2</v>
      </c>
    </row>
    <row r="17" spans="1:8" ht="15.75" customHeight="1" x14ac:dyDescent="0.25">
      <c r="B17" s="19" t="s">
        <v>90</v>
      </c>
      <c r="C17" s="101">
        <v>4.2090576290699372E-3</v>
      </c>
      <c r="D17" s="101">
        <v>4.2090576290699372E-3</v>
      </c>
      <c r="E17" s="101">
        <v>4.2090576290699372E-3</v>
      </c>
      <c r="F17" s="101">
        <v>4.2090576290699372E-3</v>
      </c>
    </row>
    <row r="18" spans="1:8" ht="15.75" customHeight="1" x14ac:dyDescent="0.25">
      <c r="B18" s="19" t="s">
        <v>91</v>
      </c>
      <c r="C18" s="101">
        <v>1.3659329639407301E-4</v>
      </c>
      <c r="D18" s="101">
        <v>1.3659329639407301E-4</v>
      </c>
      <c r="E18" s="101">
        <v>1.3659329639407301E-4</v>
      </c>
      <c r="F18" s="101">
        <v>1.3659329639407301E-4</v>
      </c>
    </row>
    <row r="19" spans="1:8" ht="15.75" customHeight="1" x14ac:dyDescent="0.25">
      <c r="B19" s="19" t="s">
        <v>92</v>
      </c>
      <c r="C19" s="101">
        <v>6.6078590648540741E-2</v>
      </c>
      <c r="D19" s="101">
        <v>6.6078590648540741E-2</v>
      </c>
      <c r="E19" s="101">
        <v>6.6078590648540741E-2</v>
      </c>
      <c r="F19" s="101">
        <v>6.6078590648540741E-2</v>
      </c>
    </row>
    <row r="20" spans="1:8" ht="15.75" customHeight="1" x14ac:dyDescent="0.25">
      <c r="B20" s="19" t="s">
        <v>93</v>
      </c>
      <c r="C20" s="101">
        <v>3.1979892208152312E-3</v>
      </c>
      <c r="D20" s="101">
        <v>3.1979892208152312E-3</v>
      </c>
      <c r="E20" s="101">
        <v>3.1979892208152312E-3</v>
      </c>
      <c r="F20" s="101">
        <v>3.1979892208152312E-3</v>
      </c>
    </row>
    <row r="21" spans="1:8" ht="15.75" customHeight="1" x14ac:dyDescent="0.25">
      <c r="B21" s="19" t="s">
        <v>94</v>
      </c>
      <c r="C21" s="101">
        <v>0.16373895085172649</v>
      </c>
      <c r="D21" s="101">
        <v>0.16373895085172649</v>
      </c>
      <c r="E21" s="101">
        <v>0.16373895085172649</v>
      </c>
      <c r="F21" s="101">
        <v>0.16373895085172649</v>
      </c>
    </row>
    <row r="22" spans="1:8" ht="15.75" customHeight="1" x14ac:dyDescent="0.25">
      <c r="B22" s="19" t="s">
        <v>95</v>
      </c>
      <c r="C22" s="101">
        <v>0.3330326917678656</v>
      </c>
      <c r="D22" s="101">
        <v>0.3330326917678656</v>
      </c>
      <c r="E22" s="101">
        <v>0.3330326917678656</v>
      </c>
      <c r="F22" s="101">
        <v>0.3330326917678656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4.7503243000000001E-2</v>
      </c>
    </row>
    <row r="27" spans="1:8" ht="15.75" customHeight="1" x14ac:dyDescent="0.25">
      <c r="B27" s="19" t="s">
        <v>102</v>
      </c>
      <c r="C27" s="101">
        <v>1.0367542E-2</v>
      </c>
    </row>
    <row r="28" spans="1:8" ht="15.75" customHeight="1" x14ac:dyDescent="0.25">
      <c r="B28" s="19" t="s">
        <v>103</v>
      </c>
      <c r="C28" s="101">
        <v>0.17293429099999999</v>
      </c>
    </row>
    <row r="29" spans="1:8" ht="15.75" customHeight="1" x14ac:dyDescent="0.25">
      <c r="B29" s="19" t="s">
        <v>104</v>
      </c>
      <c r="C29" s="101">
        <v>0.15789878800000001</v>
      </c>
    </row>
    <row r="30" spans="1:8" ht="15.75" customHeight="1" x14ac:dyDescent="0.25">
      <c r="B30" s="19" t="s">
        <v>2</v>
      </c>
      <c r="C30" s="101">
        <v>5.576656E-2</v>
      </c>
    </row>
    <row r="31" spans="1:8" ht="15.75" customHeight="1" x14ac:dyDescent="0.25">
      <c r="B31" s="19" t="s">
        <v>105</v>
      </c>
      <c r="C31" s="101">
        <v>6.3201558000000005E-2</v>
      </c>
    </row>
    <row r="32" spans="1:8" ht="15.75" customHeight="1" x14ac:dyDescent="0.25">
      <c r="B32" s="19" t="s">
        <v>106</v>
      </c>
      <c r="C32" s="101">
        <v>1.0057959E-2</v>
      </c>
    </row>
    <row r="33" spans="2:3" ht="15.75" customHeight="1" x14ac:dyDescent="0.25">
      <c r="B33" s="19" t="s">
        <v>107</v>
      </c>
      <c r="C33" s="101">
        <v>0.165459261</v>
      </c>
    </row>
    <row r="34" spans="2:3" ht="15.75" customHeight="1" x14ac:dyDescent="0.25">
      <c r="B34" s="19" t="s">
        <v>108</v>
      </c>
      <c r="C34" s="101">
        <v>0.316810798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IuzvdsZ9CPVg/oGf+sI8Lt0hKeGlAXey2jKEcQlhGdZkM1knykCzrJ4xemXXmMyPDwmuIuHwgwpU3ZxQsJdZoA==" saltValue="xqWryTNcA6ib+MifSRWMc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0.58627563845335984</v>
      </c>
      <c r="D2" s="52">
        <f>IFERROR(1-_xlfn.NORM.DIST(_xlfn.NORM.INV(SUM(D4:D5), 0, 1) + 1, 0, 1, TRUE), "")</f>
        <v>0.58627563845335984</v>
      </c>
      <c r="E2" s="52">
        <f>IFERROR(1-_xlfn.NORM.DIST(_xlfn.NORM.INV(SUM(E4:E5), 0, 1) + 1, 0, 1, TRUE), "")</f>
        <v>0.45771654958700114</v>
      </c>
      <c r="F2" s="52">
        <f>IFERROR(1-_xlfn.NORM.DIST(_xlfn.NORM.INV(SUM(F4:F5), 0, 1) + 1, 0, 1, TRUE), "")</f>
        <v>0.27775857777504842</v>
      </c>
      <c r="G2" s="52">
        <f>IFERROR(1-_xlfn.NORM.DIST(_xlfn.NORM.INV(SUM(G4:G5), 0, 1) + 1, 0, 1, TRUE), "")</f>
        <v>0.26399607154080817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0.30210759254664021</v>
      </c>
      <c r="D3" s="52">
        <f>IFERROR(_xlfn.NORM.DIST(_xlfn.NORM.INV(SUM(D4:D5), 0, 1) + 1, 0, 1, TRUE) - SUM(D4:D5), "")</f>
        <v>0.30210759254664021</v>
      </c>
      <c r="E3" s="52">
        <f>IFERROR(_xlfn.NORM.DIST(_xlfn.NORM.INV(SUM(E4:E5), 0, 1) + 1, 0, 1, TRUE) - SUM(E4:E5), "")</f>
        <v>0.35657217541299885</v>
      </c>
      <c r="F3" s="52">
        <f>IFERROR(_xlfn.NORM.DIST(_xlfn.NORM.INV(SUM(F4:F5), 0, 1) + 1, 0, 1, TRUE) - SUM(F4:F5), "")</f>
        <v>0.38151703222495159</v>
      </c>
      <c r="G3" s="52">
        <f>IFERROR(_xlfn.NORM.DIST(_xlfn.NORM.INV(SUM(G4:G5), 0, 1) + 1, 0, 1, TRUE) - SUM(G4:G5), "")</f>
        <v>0.37991248845919179</v>
      </c>
    </row>
    <row r="4" spans="1:15" ht="15.75" customHeight="1" x14ac:dyDescent="0.25">
      <c r="B4" s="5" t="s">
        <v>114</v>
      </c>
      <c r="C4" s="45">
        <v>5.3734197999999997E-2</v>
      </c>
      <c r="D4" s="53">
        <v>5.3734197999999997E-2</v>
      </c>
      <c r="E4" s="53">
        <v>0.11594678999999999</v>
      </c>
      <c r="F4" s="53">
        <v>0.21983448</v>
      </c>
      <c r="G4" s="53">
        <v>0.22190624</v>
      </c>
    </row>
    <row r="5" spans="1:15" ht="15.75" customHeight="1" x14ac:dyDescent="0.25">
      <c r="B5" s="5" t="s">
        <v>115</v>
      </c>
      <c r="C5" s="45">
        <v>5.7882571000000001E-2</v>
      </c>
      <c r="D5" s="53">
        <v>5.7882571000000001E-2</v>
      </c>
      <c r="E5" s="53">
        <v>6.9764485000000001E-2</v>
      </c>
      <c r="F5" s="53">
        <v>0.12088991</v>
      </c>
      <c r="G5" s="53">
        <v>0.1341852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0.50218939490705505</v>
      </c>
      <c r="D8" s="52">
        <f>IFERROR(1-_xlfn.NORM.DIST(_xlfn.NORM.INV(SUM(D10:D11), 0, 1) + 1, 0, 1, TRUE), "")</f>
        <v>0.50218939490705505</v>
      </c>
      <c r="E8" s="52">
        <f>IFERROR(1-_xlfn.NORM.DIST(_xlfn.NORM.INV(SUM(E10:E11), 0, 1) + 1, 0, 1, TRUE), "")</f>
        <v>0.51204859940410108</v>
      </c>
      <c r="F8" s="52">
        <f>IFERROR(1-_xlfn.NORM.DIST(_xlfn.NORM.INV(SUM(F10:F11), 0, 1) + 1, 0, 1, TRUE), "")</f>
        <v>0.5249460229502324</v>
      </c>
      <c r="G8" s="52">
        <f>IFERROR(1-_xlfn.NORM.DIST(_xlfn.NORM.INV(SUM(G10:G11), 0, 1) + 1, 0, 1, TRUE), "")</f>
        <v>0.60647658220264544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0.34047964909294492</v>
      </c>
      <c r="D9" s="52">
        <f>IFERROR(_xlfn.NORM.DIST(_xlfn.NORM.INV(SUM(D10:D11), 0, 1) + 1, 0, 1, TRUE) - SUM(D10:D11), "")</f>
        <v>0.34047964909294492</v>
      </c>
      <c r="E9" s="52">
        <f>IFERROR(_xlfn.NORM.DIST(_xlfn.NORM.INV(SUM(E10:E11), 0, 1) + 1, 0, 1, TRUE) - SUM(E10:E11), "")</f>
        <v>0.3364947325958989</v>
      </c>
      <c r="F9" s="52">
        <f>IFERROR(_xlfn.NORM.DIST(_xlfn.NORM.INV(SUM(F10:F11), 0, 1) + 1, 0, 1, TRUE) - SUM(F10:F11), "")</f>
        <v>0.3310657530497676</v>
      </c>
      <c r="G9" s="52">
        <f>IFERROR(_xlfn.NORM.DIST(_xlfn.NORM.INV(SUM(G10:G11), 0, 1) + 1, 0, 1, TRUE) - SUM(G10:G11), "")</f>
        <v>0.29150735779735448</v>
      </c>
    </row>
    <row r="10" spans="1:15" ht="15.75" customHeight="1" x14ac:dyDescent="0.25">
      <c r="B10" s="5" t="s">
        <v>119</v>
      </c>
      <c r="C10" s="45">
        <v>0.11014122</v>
      </c>
      <c r="D10" s="53">
        <v>0.11014122</v>
      </c>
      <c r="E10" s="53">
        <v>0.10288551999999999</v>
      </c>
      <c r="F10" s="53">
        <v>0.10707898</v>
      </c>
      <c r="G10" s="53">
        <v>8.0517721000000014E-2</v>
      </c>
    </row>
    <row r="11" spans="1:15" ht="15.75" customHeight="1" x14ac:dyDescent="0.25">
      <c r="B11" s="5" t="s">
        <v>120</v>
      </c>
      <c r="C11" s="45">
        <v>4.7189736000000003E-2</v>
      </c>
      <c r="D11" s="53">
        <v>4.7189736000000003E-2</v>
      </c>
      <c r="E11" s="53">
        <v>4.8571147999999988E-2</v>
      </c>
      <c r="F11" s="53">
        <v>3.6909244000000001E-2</v>
      </c>
      <c r="G11" s="53">
        <v>2.1498339000000002E-2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0.82497910925000018</v>
      </c>
      <c r="D14" s="54">
        <v>0.80162762072500005</v>
      </c>
      <c r="E14" s="54">
        <v>0.80162762072500005</v>
      </c>
      <c r="F14" s="54">
        <v>0.47399307269000007</v>
      </c>
      <c r="G14" s="54">
        <v>0.47399307269000007</v>
      </c>
      <c r="H14" s="45">
        <v>0.4</v>
      </c>
      <c r="I14" s="55">
        <v>0.4</v>
      </c>
      <c r="J14" s="55">
        <v>0.4</v>
      </c>
      <c r="K14" s="55">
        <v>0.4</v>
      </c>
      <c r="L14" s="45">
        <v>0.34899999999999998</v>
      </c>
      <c r="M14" s="55">
        <v>0.34899999999999998</v>
      </c>
      <c r="N14" s="55">
        <v>0.34899999999999998</v>
      </c>
      <c r="O14" s="55">
        <v>0.34899999999999998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0.41830648232432177</v>
      </c>
      <c r="D15" s="52">
        <f t="shared" si="0"/>
        <v>0.40646608671623191</v>
      </c>
      <c r="E15" s="52">
        <f t="shared" si="0"/>
        <v>0.40646608671623191</v>
      </c>
      <c r="F15" s="52">
        <f t="shared" si="0"/>
        <v>0.24033866150053718</v>
      </c>
      <c r="G15" s="52">
        <f t="shared" si="0"/>
        <v>0.24033866150053718</v>
      </c>
      <c r="H15" s="52">
        <f t="shared" si="0"/>
        <v>0.20282039999999998</v>
      </c>
      <c r="I15" s="52">
        <f t="shared" si="0"/>
        <v>0.20282039999999998</v>
      </c>
      <c r="J15" s="52">
        <f t="shared" si="0"/>
        <v>0.20282039999999998</v>
      </c>
      <c r="K15" s="52">
        <f t="shared" si="0"/>
        <v>0.20282039999999998</v>
      </c>
      <c r="L15" s="52">
        <f t="shared" si="0"/>
        <v>0.17696079899999995</v>
      </c>
      <c r="M15" s="52">
        <f t="shared" si="0"/>
        <v>0.17696079899999995</v>
      </c>
      <c r="N15" s="52">
        <f t="shared" si="0"/>
        <v>0.17696079899999995</v>
      </c>
      <c r="O15" s="52">
        <f t="shared" si="0"/>
        <v>0.17696079899999995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SW3j7sQfhIKh+Rpaa1Ela2S9X8D+VE2AFEFZ5+L1MVqJ8UfZHuLt/ECBjVqvpv5Sgxws4AZMceNA0DRtYI723w==" saltValue="2G8kQd3XSNCF991xZ8WqR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0.83068748469999998</v>
      </c>
      <c r="D2" s="53">
        <v>0.58612727999999992</v>
      </c>
      <c r="E2" s="53"/>
      <c r="F2" s="53"/>
      <c r="G2" s="53"/>
    </row>
    <row r="3" spans="1:7" x14ac:dyDescent="0.25">
      <c r="B3" s="3" t="s">
        <v>130</v>
      </c>
      <c r="C3" s="53">
        <v>5.4924544999999998E-2</v>
      </c>
      <c r="D3" s="53">
        <v>0.18740947999999999</v>
      </c>
      <c r="E3" s="53"/>
      <c r="F3" s="53"/>
      <c r="G3" s="53"/>
    </row>
    <row r="4" spans="1:7" x14ac:dyDescent="0.25">
      <c r="B4" s="3" t="s">
        <v>131</v>
      </c>
      <c r="C4" s="53">
        <v>9.7029933999999998E-2</v>
      </c>
      <c r="D4" s="53">
        <v>0.20758251</v>
      </c>
      <c r="E4" s="53">
        <v>0.98748785257339511</v>
      </c>
      <c r="F4" s="53">
        <v>0.93983435630798295</v>
      </c>
      <c r="G4" s="53"/>
    </row>
    <row r="5" spans="1:7" x14ac:dyDescent="0.25">
      <c r="B5" s="3" t="s">
        <v>132</v>
      </c>
      <c r="C5" s="52">
        <v>1.7358064650000001E-2</v>
      </c>
      <c r="D5" s="52">
        <v>1.8880732000000001E-2</v>
      </c>
      <c r="E5" s="52">
        <f>1-SUM(E2:E4)</f>
        <v>1.2512147426604892E-2</v>
      </c>
      <c r="F5" s="52">
        <f>1-SUM(F2:F4)</f>
        <v>6.0165643692017046E-2</v>
      </c>
      <c r="G5" s="52">
        <f>1-SUM(G2:G4)</f>
        <v>1</v>
      </c>
    </row>
  </sheetData>
  <sheetProtection algorithmName="SHA-512" hashValue="rBj7H0R9/YOk8C6O30IjLfXNA3oCKSWEwSrs//sqGRKW4kNnX1K6frS1QewCMf+Yj8HUKgTuu/zsq2Gr+u5+5w==" saltValue="4ZhOZlJZPi+BxiOmEm/1w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CP2whjJd8fxpe/iC/oNKSuvce0/j6bLR+2Xfgr2gdSB1pLWuXP6HFAu50ehoAc2baOre21Ov5aaS9ltowhmKbA==" saltValue="agr2ugoMjjOGHYLL/eMcV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lCKJ269rdVXPv7v0l0SGxyXsHcbjXc+m3em0l/qVMs87PXtdD8MqJeSDqDSCTw5jbNsazkUdILSOUpKjOND1Lw==" saltValue="f6jlnd6VUgTZw/EtUXZmI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sN5x92N8tOtg0HAVi32twycdAMkaZrCq+VDTdhhp1eD7Ij2GbxkJ6uHHy3Mbi/aVNrrGbANeQeriEgPKw7MqTw==" saltValue="O8VyupOij4bevdhhr/MiD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T9kN1drNwAJXJ/wB+iT7Dfs8bbUMrtLAfXWUoGVStoOcympOXKRPFDFr01B6JFrQlCoZVv5c63sv7oXhHelijg==" saltValue="u2jI3AdruIZDeugfF4Lm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2024-03-15T03:11:05Z</dcterms:modified>
</cp:coreProperties>
</file>