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4E959DE2-607B-496B-994A-BD3448031B2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F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I39" i="2" s="1"/>
  <c r="G39" i="2"/>
  <c r="A39" i="2"/>
  <c r="I38" i="2"/>
  <c r="H38" i="2"/>
  <c r="G38" i="2"/>
  <c r="A37" i="2"/>
  <c r="A35" i="2"/>
  <c r="A34" i="2"/>
  <c r="A33" i="2"/>
  <c r="A30" i="2"/>
  <c r="A25" i="2"/>
  <c r="A22" i="2"/>
  <c r="A21" i="2"/>
  <c r="A19" i="2"/>
  <c r="A18" i="2"/>
  <c r="A13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D19" i="26" l="1"/>
  <c r="A14" i="2"/>
  <c r="A26" i="2"/>
  <c r="A38" i="2"/>
  <c r="A40" i="2"/>
  <c r="I5" i="2"/>
  <c r="I9" i="2"/>
  <c r="A15" i="2"/>
  <c r="A27" i="2"/>
  <c r="F12" i="26"/>
  <c r="A17" i="2"/>
  <c r="A29" i="2"/>
  <c r="G12" i="26"/>
  <c r="D10" i="26"/>
  <c r="E19" i="26"/>
  <c r="A23" i="2"/>
  <c r="A31" i="2"/>
  <c r="E10" i="26"/>
  <c r="A3" i="2"/>
  <c r="A16" i="2"/>
  <c r="A24" i="2"/>
  <c r="A32" i="2"/>
  <c r="G10" i="26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<sst xmlns="http://schemas.openxmlformats.org/spreadsheetml/2006/main" count="2092" uniqueCount="337">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</sst>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29759786</v>
      </c>
    </row>
    <row r="8" spans="1:3" ht="15" customHeight="1" x14ac:dyDescent="0.25">
      <c r="B8" s="5" t="s">
        <v>19</v>
      </c>
      <c r="C8" s="44">
        <v>3.9E-2</v>
      </c>
    </row>
    <row r="9" spans="1:3" ht="15" customHeight="1" x14ac:dyDescent="0.25">
      <c r="B9" s="5" t="s">
        <v>20</v>
      </c>
      <c r="C9" s="45">
        <v>2.1600000000000001E-2</v>
      </c>
    </row>
    <row r="10" spans="1:3" ht="15" customHeight="1" x14ac:dyDescent="0.25">
      <c r="B10" s="5" t="s">
        <v>21</v>
      </c>
      <c r="C10" s="45">
        <v>0.89200000000000002</v>
      </c>
    </row>
    <row r="11" spans="1:3" ht="15" customHeight="1" x14ac:dyDescent="0.25">
      <c r="B11" s="5" t="s">
        <v>22</v>
      </c>
      <c r="C11" s="45">
        <v>0.62</v>
      </c>
    </row>
    <row r="12" spans="1:3" ht="15" customHeight="1" x14ac:dyDescent="0.25">
      <c r="B12" s="5" t="s">
        <v>23</v>
      </c>
      <c r="C12" s="45">
        <v>0.76500000000000001</v>
      </c>
    </row>
    <row r="13" spans="1:3" ht="15" customHeight="1" x14ac:dyDescent="0.25">
      <c r="B13" s="5" t="s">
        <v>24</v>
      </c>
      <c r="C13" s="45">
        <v>0.1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8.3599999999999994E-2</v>
      </c>
    </row>
    <row r="24" spans="1:3" ht="15" customHeight="1" x14ac:dyDescent="0.25">
      <c r="B24" s="15" t="s">
        <v>33</v>
      </c>
      <c r="C24" s="45">
        <v>0.50800000000000001</v>
      </c>
    </row>
    <row r="25" spans="1:3" ht="15" customHeight="1" x14ac:dyDescent="0.25">
      <c r="B25" s="15" t="s">
        <v>34</v>
      </c>
      <c r="C25" s="45">
        <v>0.35120000000000012</v>
      </c>
    </row>
    <row r="26" spans="1:3" ht="15" customHeight="1" x14ac:dyDescent="0.25">
      <c r="B26" s="15" t="s">
        <v>35</v>
      </c>
      <c r="C26" s="45">
        <v>5.7200000000000001E-2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0.23226987666198901</v>
      </c>
    </row>
    <row r="30" spans="1:3" ht="14.25" customHeight="1" x14ac:dyDescent="0.25">
      <c r="B30" s="25" t="s">
        <v>38</v>
      </c>
      <c r="C30" s="99">
        <v>0.135366096495801</v>
      </c>
    </row>
    <row r="31" spans="1:3" ht="14.25" customHeight="1" x14ac:dyDescent="0.25">
      <c r="B31" s="25" t="s">
        <v>39</v>
      </c>
      <c r="C31" s="99">
        <v>0.14612612557943599</v>
      </c>
    </row>
    <row r="32" spans="1:3" ht="14.25" customHeight="1" x14ac:dyDescent="0.25">
      <c r="B32" s="25" t="s">
        <v>40</v>
      </c>
      <c r="C32" s="99">
        <v>0.486237901262774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41.215947695787101</v>
      </c>
    </row>
    <row r="38" spans="1:5" ht="15" customHeight="1" x14ac:dyDescent="0.25">
      <c r="B38" s="11" t="s">
        <v>45</v>
      </c>
      <c r="C38" s="43">
        <v>55.663825037745802</v>
      </c>
      <c r="D38" s="12"/>
      <c r="E38" s="13"/>
    </row>
    <row r="39" spans="1:5" ht="15" customHeight="1" x14ac:dyDescent="0.25">
      <c r="B39" s="11" t="s">
        <v>46</v>
      </c>
      <c r="C39" s="43">
        <v>67.241911859455101</v>
      </c>
      <c r="D39" s="12"/>
      <c r="E39" s="12"/>
    </row>
    <row r="40" spans="1:5" ht="15" customHeight="1" x14ac:dyDescent="0.25">
      <c r="B40" s="11" t="s">
        <v>47</v>
      </c>
      <c r="C40" s="100">
        <v>1.4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30.625200799999998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1.86844E-2</v>
      </c>
      <c r="D45" s="12"/>
    </row>
    <row r="46" spans="1:5" ht="15.75" customHeight="1" x14ac:dyDescent="0.25">
      <c r="B46" s="11" t="s">
        <v>52</v>
      </c>
      <c r="C46" s="45">
        <v>0.1232801</v>
      </c>
      <c r="D46" s="12"/>
    </row>
    <row r="47" spans="1:5" ht="15.75" customHeight="1" x14ac:dyDescent="0.25">
      <c r="B47" s="11" t="s">
        <v>53</v>
      </c>
      <c r="C47" s="45">
        <v>0.35834389999999999</v>
      </c>
      <c r="D47" s="12"/>
      <c r="E47" s="13"/>
    </row>
    <row r="48" spans="1:5" ht="15" customHeight="1" x14ac:dyDescent="0.25">
      <c r="B48" s="11" t="s">
        <v>54</v>
      </c>
      <c r="C48" s="46">
        <v>0.49969160000000001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0.43655699999999997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cALaGwvEnJDbtnE93FyTqkMDvR89ugB5BhS9wIFyRohhKWTSt1j4iIXy36Ba6lJbISAvxDNhVzxZHu9gH7qEVQ==" saltValue="sx7M6D2WB1a6wAmqis5V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0.226736138851383</v>
      </c>
      <c r="C2" s="98">
        <v>0.95</v>
      </c>
      <c r="D2" s="56">
        <v>50.371303540921957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39.708482859157797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294.34045337363011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1.2222293097752139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12.84078230295372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12.84078230295372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12.84078230295372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12.84078230295372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12.84078230295372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12.84078230295372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0.41490087160257599</v>
      </c>
      <c r="C16" s="98">
        <v>0.95</v>
      </c>
      <c r="D16" s="56">
        <v>0.54754810284906963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6.8217383658846993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6.8217383658846993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0.35662080000000002</v>
      </c>
      <c r="C21" s="98">
        <v>0.95</v>
      </c>
      <c r="D21" s="56">
        <v>12.15441108429366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22.06922301210663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0.01</v>
      </c>
      <c r="C23" s="98">
        <v>0.95</v>
      </c>
      <c r="D23" s="56">
        <v>4.1722144491998137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0.555620172266166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0.24598689678782401</v>
      </c>
      <c r="C27" s="98">
        <v>0.95</v>
      </c>
      <c r="D27" s="56">
        <v>18.399477267230779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0.37447279999999999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96.169549000750962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0.34386987590081408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0.46563719999999997</v>
      </c>
      <c r="C32" s="98">
        <v>0.95</v>
      </c>
      <c r="D32" s="56">
        <v>1.1580402463781181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0.59869495032297004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0.1247952</v>
      </c>
      <c r="C38" s="98">
        <v>0.95</v>
      </c>
      <c r="D38" s="56">
        <v>3.7067724725609019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0.1497243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u7z+IZLiJS9msnJX9wy/LqpcwBpzQyeV/reki98QO8SbuGWrQEkIj59A9Csh92sbP4Zfauvio+TTuqHiJiP5bw==" saltValue="PkfcSZQFNZxKBINiaiXM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a1K5XxgytcoqTVQbtyH3O/uf3PPCrDe30nEYU/KQV2PoOT4uwgz5kA1rlP15ygddexA9bxbp9pFOgt/f9BI4Iw==" saltValue="V6raDQxi1Q/PZXhdMw8tf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Yq+Mdl41/vuoZnjmTirtVepD8Ihhcg8n/J7jnEVN2cbfsc4kLJw8l/rITRLqnBmk8BMvKSoOKgR2dyhy5Y1wow==" saltValue="4xGnPGUHzTfQeHjbApTsJ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0.20010143667459479</v>
      </c>
      <c r="C3" s="21">
        <f>frac_mam_1_5months * 2.6</f>
        <v>0.20010143667459479</v>
      </c>
      <c r="D3" s="21">
        <f>frac_mam_6_11months * 2.6</f>
        <v>0.21121167540550218</v>
      </c>
      <c r="E3" s="21">
        <f>frac_mam_12_23months * 2.6</f>
        <v>0.13658372908830652</v>
      </c>
      <c r="F3" s="21">
        <f>frac_mam_24_59months * 2.6</f>
        <v>8.9024348556995286E-2</v>
      </c>
    </row>
    <row r="4" spans="1:6" ht="15.75" customHeight="1" x14ac:dyDescent="0.25">
      <c r="A4" s="3" t="s">
        <v>208</v>
      </c>
      <c r="B4" s="21">
        <f>frac_sam_1month * 2.6</f>
        <v>0.16490840166807164</v>
      </c>
      <c r="C4" s="21">
        <f>frac_sam_1_5months * 2.6</f>
        <v>0.16490840166807164</v>
      </c>
      <c r="D4" s="21">
        <f>frac_sam_6_11months * 2.6</f>
        <v>0.12208314687013613</v>
      </c>
      <c r="E4" s="21">
        <f>frac_sam_12_23months * 2.6</f>
        <v>5.5262035131454577E-2</v>
      </c>
      <c r="F4" s="21">
        <f>frac_sam_24_59months * 2.6</f>
        <v>3.3276657573878682E-2</v>
      </c>
    </row>
  </sheetData>
  <sheetProtection algorithmName="SHA-512" hashValue="CJCqHN36riSVuBc6zh2MBAFoXrlYQPjDAtkGOAkgMhz9myth723zLMIdp33XZ3EzURPZlvlgpSP+7vC2dMYELQ==" saltValue="6Zn+AO0ZZAyy3UmeE92K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3.9E-2</v>
      </c>
      <c r="E2" s="60">
        <f>food_insecure</f>
        <v>3.9E-2</v>
      </c>
      <c r="F2" s="60">
        <f>food_insecure</f>
        <v>3.9E-2</v>
      </c>
      <c r="G2" s="60">
        <f>food_insecure</f>
        <v>3.9E-2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3.9E-2</v>
      </c>
      <c r="F5" s="60">
        <f>food_insecure</f>
        <v>3.9E-2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3.9E-2</v>
      </c>
      <c r="F8" s="60">
        <f>food_insecure</f>
        <v>3.9E-2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3.9E-2</v>
      </c>
      <c r="F9" s="60">
        <f>food_insecure</f>
        <v>3.9E-2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0.76500000000000001</v>
      </c>
      <c r="E10" s="60">
        <f>IF(ISBLANK(comm_deliv), frac_children_health_facility,1)</f>
        <v>0.76500000000000001</v>
      </c>
      <c r="F10" s="60">
        <f>IF(ISBLANK(comm_deliv), frac_children_health_facility,1)</f>
        <v>0.76500000000000001</v>
      </c>
      <c r="G10" s="60">
        <f>IF(ISBLANK(comm_deliv), frac_children_health_facility,1)</f>
        <v>0.76500000000000001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3.9E-2</v>
      </c>
      <c r="I15" s="60">
        <f>food_insecure</f>
        <v>3.9E-2</v>
      </c>
      <c r="J15" s="60">
        <f>food_insecure</f>
        <v>3.9E-2</v>
      </c>
      <c r="K15" s="60">
        <f>food_insecure</f>
        <v>3.9E-2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2.1600000000000001E-2</v>
      </c>
      <c r="I19" s="60">
        <f>frac_malaria_risk</f>
        <v>2.1600000000000001E-2</v>
      </c>
      <c r="J19" s="60">
        <f>frac_malaria_risk</f>
        <v>2.1600000000000001E-2</v>
      </c>
      <c r="K19" s="60">
        <f>frac_malaria_risk</f>
        <v>2.1600000000000001E-2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</v>
      </c>
      <c r="M24" s="60">
        <f>famplan_unmet_need</f>
        <v>0.1</v>
      </c>
      <c r="N24" s="60">
        <f>famplan_unmet_need</f>
        <v>0.1</v>
      </c>
      <c r="O24" s="60">
        <f>famplan_unmet_need</f>
        <v>0.1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5.3804519999999988E-2</v>
      </c>
      <c r="M25" s="60">
        <f>(1-food_insecure)*(0.49)+food_insecure*(0.7)</f>
        <v>0.49818999999999997</v>
      </c>
      <c r="N25" s="60">
        <f>(1-food_insecure)*(0.49)+food_insecure*(0.7)</f>
        <v>0.49818999999999997</v>
      </c>
      <c r="O25" s="60">
        <f>(1-food_insecure)*(0.49)+food_insecure*(0.7)</f>
        <v>0.49818999999999997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2.3059079999999996E-2</v>
      </c>
      <c r="M26" s="60">
        <f>(1-food_insecure)*(0.21)+food_insecure*(0.3)</f>
        <v>0.21350999999999998</v>
      </c>
      <c r="N26" s="60">
        <f>(1-food_insecure)*(0.21)+food_insecure*(0.3)</f>
        <v>0.21350999999999998</v>
      </c>
      <c r="O26" s="60">
        <f>(1-food_insecure)*(0.21)+food_insecure*(0.3)</f>
        <v>0.21350999999999998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3.1136399999999995E-2</v>
      </c>
      <c r="M27" s="60">
        <f>(1-food_insecure)*(0.3)</f>
        <v>0.2883</v>
      </c>
      <c r="N27" s="60">
        <f>(1-food_insecure)*(0.3)</f>
        <v>0.2883</v>
      </c>
      <c r="O27" s="60">
        <f>(1-food_insecure)*(0.3)</f>
        <v>0.2883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0.89200000000000002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2.1600000000000001E-2</v>
      </c>
      <c r="D34" s="60">
        <f t="shared" si="3"/>
        <v>2.1600000000000001E-2</v>
      </c>
      <c r="E34" s="60">
        <f t="shared" si="3"/>
        <v>2.1600000000000001E-2</v>
      </c>
      <c r="F34" s="60">
        <f t="shared" si="3"/>
        <v>2.1600000000000001E-2</v>
      </c>
      <c r="G34" s="60">
        <f t="shared" si="3"/>
        <v>2.1600000000000001E-2</v>
      </c>
      <c r="H34" s="60">
        <f t="shared" si="3"/>
        <v>2.1600000000000001E-2</v>
      </c>
      <c r="I34" s="60">
        <f t="shared" si="3"/>
        <v>2.1600000000000001E-2</v>
      </c>
      <c r="J34" s="60">
        <f t="shared" si="3"/>
        <v>2.1600000000000001E-2</v>
      </c>
      <c r="K34" s="60">
        <f t="shared" si="3"/>
        <v>2.1600000000000001E-2</v>
      </c>
      <c r="L34" s="60">
        <f t="shared" si="3"/>
        <v>2.1600000000000001E-2</v>
      </c>
      <c r="M34" s="60">
        <f t="shared" si="3"/>
        <v>2.1600000000000001E-2</v>
      </c>
      <c r="N34" s="60">
        <f t="shared" si="3"/>
        <v>2.1600000000000001E-2</v>
      </c>
      <c r="O34" s="60">
        <f t="shared" si="3"/>
        <v>2.1600000000000001E-2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xNPus76iGfbazOwbSCCFpz2H9mLai0+HfYWj0jGKGWFF6wK4HSdwCBPEIK1nYgpEGSh2tU4xVLf/KQXbKKT/rw==" saltValue="llTVMuvF92rqjPKKFW1H8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VIT68WPboKs6Z7J0bC+U5zw6xjU1c6neWHfCgYjeppxT9aZ54GlgpGcumFy0tTdsz5xYvKmPdczJ/uzJ2TWMeA==" saltValue="NUl2UuaY7J3ikja5KRCKf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vi4dIwTRmJFO85MKtHIBo6YlW67gz55MtfcBn3Ff5mfY0f4BHDpXH/Xgr/6xeaXRU4d/TZ9m7tLFRs4MgyBAQ==" saltValue="mfMhLiLo15UeS79d4VWy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su1FkUrMRIWqx7Yj6/93TX1s4cg+d4Jo/0g6cWh4mbQSmhmG4U3n309uT93ypIL6XfFgcf2VDGNSPGDe5DstVA==" saltValue="LNQ1obXMuC754/EcKnHyW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gNw+dT2q8UbM4eoRWIAqf6N3mH6gimcjnKZsBsXVjntPSDHvw2338RctYy48LMyvwGZ2aDKIfrlHRqN5qXpj6Q==" saltValue="EMPqeYv7e3N0LNGhquzrl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o4rQurtZC9q/HtIvaRDwInaA2UvfApPNiFg8UfT+ml+ZQEGPmgtkWyWWHSFiEYje/GCZkNIN438RDWpne+8V8Q==" saltValue="ze+nshKiij5GruGV8A+KR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154206.88800000001</v>
      </c>
      <c r="C2" s="49">
        <v>260000</v>
      </c>
      <c r="D2" s="49">
        <v>653000</v>
      </c>
      <c r="E2" s="49">
        <v>592000</v>
      </c>
      <c r="F2" s="49">
        <v>462000</v>
      </c>
      <c r="G2" s="17">
        <f t="shared" ref="G2:G11" si="0">C2+D2+E2+F2</f>
        <v>1967000</v>
      </c>
      <c r="H2" s="17">
        <f t="shared" ref="H2:H11" si="1">(B2 + stillbirth*B2/(1000-stillbirth))/(1-abortion)</f>
        <v>180771.25601430633</v>
      </c>
      <c r="I2" s="17">
        <f t="shared" ref="I2:I11" si="2">G2-H2</f>
        <v>1786228.7439856937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155601.67000000001</v>
      </c>
      <c r="C3" s="50">
        <v>265000</v>
      </c>
      <c r="D3" s="50">
        <v>662000</v>
      </c>
      <c r="E3" s="50">
        <v>602000</v>
      </c>
      <c r="F3" s="50">
        <v>475000</v>
      </c>
      <c r="G3" s="17">
        <f t="shared" si="0"/>
        <v>2004000</v>
      </c>
      <c r="H3" s="17">
        <f t="shared" si="1"/>
        <v>182406.30939795382</v>
      </c>
      <c r="I3" s="17">
        <f t="shared" si="2"/>
        <v>1821593.6906020462</v>
      </c>
    </row>
    <row r="4" spans="1:9" ht="15.75" customHeight="1" x14ac:dyDescent="0.25">
      <c r="A4" s="5">
        <f t="shared" si="3"/>
        <v>2023</v>
      </c>
      <c r="B4" s="49">
        <v>156931.32</v>
      </c>
      <c r="C4" s="50">
        <v>271000</v>
      </c>
      <c r="D4" s="50">
        <v>670000</v>
      </c>
      <c r="E4" s="50">
        <v>613000</v>
      </c>
      <c r="F4" s="50">
        <v>488000</v>
      </c>
      <c r="G4" s="17">
        <f t="shared" si="0"/>
        <v>2042000</v>
      </c>
      <c r="H4" s="17">
        <f t="shared" si="1"/>
        <v>183965.01085206409</v>
      </c>
      <c r="I4" s="17">
        <f t="shared" si="2"/>
        <v>1858034.989147936</v>
      </c>
    </row>
    <row r="5" spans="1:9" ht="15.75" customHeight="1" x14ac:dyDescent="0.25">
      <c r="A5" s="5">
        <f t="shared" si="3"/>
        <v>2024</v>
      </c>
      <c r="B5" s="49">
        <v>158136.48199999999</v>
      </c>
      <c r="C5" s="50">
        <v>278000</v>
      </c>
      <c r="D5" s="50">
        <v>678000</v>
      </c>
      <c r="E5" s="50">
        <v>625000</v>
      </c>
      <c r="F5" s="50">
        <v>501000</v>
      </c>
      <c r="G5" s="17">
        <f t="shared" si="0"/>
        <v>2082000</v>
      </c>
      <c r="H5" s="17">
        <f t="shared" si="1"/>
        <v>185377.77944668557</v>
      </c>
      <c r="I5" s="17">
        <f t="shared" si="2"/>
        <v>1896622.2205533143</v>
      </c>
    </row>
    <row r="6" spans="1:9" ht="15.75" customHeight="1" x14ac:dyDescent="0.25">
      <c r="A6" s="5">
        <f t="shared" si="3"/>
        <v>2025</v>
      </c>
      <c r="B6" s="49">
        <v>159244.962</v>
      </c>
      <c r="C6" s="50">
        <v>284000</v>
      </c>
      <c r="D6" s="50">
        <v>688000</v>
      </c>
      <c r="E6" s="50">
        <v>639000</v>
      </c>
      <c r="F6" s="50">
        <v>512000</v>
      </c>
      <c r="G6" s="17">
        <f t="shared" si="0"/>
        <v>2123000</v>
      </c>
      <c r="H6" s="17">
        <f t="shared" si="1"/>
        <v>186677.21116770402</v>
      </c>
      <c r="I6" s="17">
        <f t="shared" si="2"/>
        <v>1936322.7888322959</v>
      </c>
    </row>
    <row r="7" spans="1:9" ht="15.75" customHeight="1" x14ac:dyDescent="0.25">
      <c r="A7" s="5">
        <f t="shared" si="3"/>
        <v>2026</v>
      </c>
      <c r="B7" s="49">
        <v>160433.15299999999</v>
      </c>
      <c r="C7" s="50">
        <v>291000</v>
      </c>
      <c r="D7" s="50">
        <v>698000</v>
      </c>
      <c r="E7" s="50">
        <v>655000</v>
      </c>
      <c r="F7" s="50">
        <v>524000</v>
      </c>
      <c r="G7" s="17">
        <f t="shared" si="0"/>
        <v>2168000</v>
      </c>
      <c r="H7" s="17">
        <f t="shared" si="1"/>
        <v>188070.08526198505</v>
      </c>
      <c r="I7" s="17">
        <f t="shared" si="2"/>
        <v>1979929.914738015</v>
      </c>
    </row>
    <row r="8" spans="1:9" ht="15.75" customHeight="1" x14ac:dyDescent="0.25">
      <c r="A8" s="5">
        <f t="shared" si="3"/>
        <v>2027</v>
      </c>
      <c r="B8" s="49">
        <v>161532.24</v>
      </c>
      <c r="C8" s="50">
        <v>298000</v>
      </c>
      <c r="D8" s="50">
        <v>710000</v>
      </c>
      <c r="E8" s="50">
        <v>671000</v>
      </c>
      <c r="F8" s="50">
        <v>534000</v>
      </c>
      <c r="G8" s="17">
        <f t="shared" si="0"/>
        <v>2213000</v>
      </c>
      <c r="H8" s="17">
        <f t="shared" si="1"/>
        <v>189358.50590282565</v>
      </c>
      <c r="I8" s="17">
        <f t="shared" si="2"/>
        <v>2023641.4940971744</v>
      </c>
    </row>
    <row r="9" spans="1:9" ht="15.75" customHeight="1" x14ac:dyDescent="0.25">
      <c r="A9" s="5">
        <f t="shared" si="3"/>
        <v>2028</v>
      </c>
      <c r="B9" s="49">
        <v>162540.924</v>
      </c>
      <c r="C9" s="50">
        <v>305000</v>
      </c>
      <c r="D9" s="50">
        <v>722000</v>
      </c>
      <c r="E9" s="50">
        <v>689000</v>
      </c>
      <c r="F9" s="50">
        <v>543000</v>
      </c>
      <c r="G9" s="17">
        <f t="shared" si="0"/>
        <v>2259000</v>
      </c>
      <c r="H9" s="17">
        <f t="shared" si="1"/>
        <v>190540.95031867779</v>
      </c>
      <c r="I9" s="17">
        <f t="shared" si="2"/>
        <v>2068459.0496813222</v>
      </c>
    </row>
    <row r="10" spans="1:9" ht="15.75" customHeight="1" x14ac:dyDescent="0.25">
      <c r="A10" s="5">
        <f t="shared" si="3"/>
        <v>2029</v>
      </c>
      <c r="B10" s="49">
        <v>163431.83199999999</v>
      </c>
      <c r="C10" s="50">
        <v>312000</v>
      </c>
      <c r="D10" s="50">
        <v>735000</v>
      </c>
      <c r="E10" s="50">
        <v>707000</v>
      </c>
      <c r="F10" s="50">
        <v>554000</v>
      </c>
      <c r="G10" s="17">
        <f t="shared" si="0"/>
        <v>2308000</v>
      </c>
      <c r="H10" s="17">
        <f t="shared" si="1"/>
        <v>191585.33011417169</v>
      </c>
      <c r="I10" s="17">
        <f t="shared" si="2"/>
        <v>2116414.6698858282</v>
      </c>
    </row>
    <row r="11" spans="1:9" ht="15.75" customHeight="1" x14ac:dyDescent="0.25">
      <c r="A11" s="5">
        <f t="shared" si="3"/>
        <v>2030</v>
      </c>
      <c r="B11" s="49">
        <v>164230.60500000001</v>
      </c>
      <c r="C11" s="50">
        <v>318000</v>
      </c>
      <c r="D11" s="50">
        <v>746000</v>
      </c>
      <c r="E11" s="50">
        <v>726000</v>
      </c>
      <c r="F11" s="50">
        <v>563000</v>
      </c>
      <c r="G11" s="17">
        <f t="shared" si="0"/>
        <v>2353000</v>
      </c>
      <c r="H11" s="17">
        <f t="shared" si="1"/>
        <v>192521.70332261306</v>
      </c>
      <c r="I11" s="17">
        <f t="shared" si="2"/>
        <v>2160478.2966773869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YT8bsUEZviv0c0ni8UpwXWXL+NKnah61t95vbwnGrG246pcWhtGoY8jnxRppNUsU/31o0k7miyIbcbK7epBpg==" saltValue="vB3K62WzpkcOt0+Ozm/O4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2.270837027954316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2.270837027954316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2.0479771421214203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2.0479771421214203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1.8396601791841019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1.8396601791841019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1.6924134689016528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1.6924134689016528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2.7474009134371844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2.7474009134371844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2.4409685704169526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2.4409685704169526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ewUl2RpoxSA1iqvsZSfjpYlgmlXXrPDuuzMXlACA/xa/CyMGDtZP1pB+SuTr0WCnMioJUcW2R+Q4TuHdOC7MAw==" saltValue="eresNRVRJzt2EgFY7Y/EI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fbioMCeN2bsuFT60iRrwUxnqKQQNU4G/tZWxQQWz/3+g8mYvdLGF49xCyzJurVh3Y4+E/Nsg06+MiN1CLMPhUw==" saltValue="ybzzekTGLh7f4KDzzkj9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PO9sR2PN5X37WWoMYF3nWCFe6w89ovxUpMVsvmcEswSNmPdvWeYQvOEKlN8Ghn0LJdTD7chpWvJucHrtrUCoTQ==" saltValue="VQQS7k7WDZTi/ztE1slr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0.58745080370525737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0.58745080370525737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0.85452022051743448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0.85452022051743448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0.85452022051743448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0.85452022051743448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0.38625324558410024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0.38625324558410024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0.8194571483872044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0.8194571483872044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0.8194571483872044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0.8194571483872044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0.90206829923134368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0.90206829923134368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0.89009460709971111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0.89009460709971111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0.89009460709971111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0.89009460709971111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swl1m4BFCtgwkBO1ZQmcmk8wx5rpcM0IW6eUlEZ3Z1UXUdbGUB9HDTnp8QzOeqENCPYEhz7cqK4MCp7DhDcjWA==" saltValue="7nmGHUA2LwnUEyOS7+yW9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GwiCCF7XSmXVQR3dD3XBwOdSkGVDB65t3p9bsJIvYe6bPxfLVDJftWrIr6YaRR5n7HHgSxNTS8m6U2b4WTp7Ag==" saltValue="frBKhXWn/3+7rkz7bhfv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0.61327584203982821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0.65267642652093583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0.65267642652093583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0.55600659647342388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0.55600659647342388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0.55600659647342388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0.55600659647342388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0.55139707767239154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0.55139707767239154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0.55139707767239154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0.55139707767239154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0.71155245819726731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0.74510195250291467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0.74510195250291467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0.66078697421981014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0.66078697421981014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0.66078697421981014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0.66078697421981014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0.65659340659340648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0.65659340659340648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0.65659340659340648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0.65659340659340648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0.41994094921067127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0.4617512955386911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0.4617512955386911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0.36374450192259816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0.36374450192259816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0.36374450192259816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0.36374450192259816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0.35943853394975772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0.35943853394975772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0.35943853394975772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0.35943853394975772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0.58999371719453753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0.63033655461843019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0.63033655461843019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0.53190825401778741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0.53190825401778741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0.53190825401778741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0.53190825401778741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0.52726126693980457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0.52726126693980457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0.52726126693980457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0.52726126693980457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0.95224507516173929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0.95939695047526841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0.95939695047526841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0.94028543561774713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0.94028543561774713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0.94028543561774713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0.94028543561774713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0.93922942916177121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0.93922942916177121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0.93922942916177121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0.93922942916177121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0.87642345184748938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0.89366248973419538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0.89366248973419538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0.84849632603590652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0.84849632603590652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0.84849632603590652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0.84849632603590652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0.84608280744959208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0.84608280744959208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0.84608280744959208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0.84608280744959208</v>
      </c>
    </row>
  </sheetData>
  <sheetProtection algorithmName="SHA-512" hashValue="NiIgfKkefFiJ/6uk0TJUIspJow0YmPRSssI52fGbFmhiwhMiOiEKF2frkriu/YRoRMQzA3naPqBTdjpGnZdGMQ==" saltValue="0GQZTiLKZqQ3R0c8v4r/7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0.85192289358029061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0.85410871308842096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0.85739329476577464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0.85844188477019878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0.85007698574335666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0.84948464778648936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0.85337585929048954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0.85575241116968404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0.76673060422226158</v>
      </c>
      <c r="E10" s="90">
        <f>E3*0.9</f>
        <v>0.76869784177957889</v>
      </c>
      <c r="F10" s="90">
        <f>F3*0.9</f>
        <v>0.77165396528919716</v>
      </c>
      <c r="G10" s="90">
        <f>G3*0.9</f>
        <v>0.77259769629317887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0.76506928716902101</v>
      </c>
      <c r="E12" s="90">
        <f>E5*0.9</f>
        <v>0.76453618300784043</v>
      </c>
      <c r="F12" s="90">
        <f>F5*0.9</f>
        <v>0.76803827336144059</v>
      </c>
      <c r="G12" s="90">
        <f>G5*0.9</f>
        <v>0.77017717005271569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0.89451903825930512</v>
      </c>
      <c r="E17" s="90">
        <f>E3*1.05</f>
        <v>0.89681414874284204</v>
      </c>
      <c r="F17" s="90">
        <f>F3*1.05</f>
        <v>0.90026295950406343</v>
      </c>
      <c r="G17" s="90">
        <f>G3*1.05</f>
        <v>0.90136397900870879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0.89258083503052454</v>
      </c>
      <c r="E19" s="90">
        <f>E5*1.05</f>
        <v>0.89195888017581382</v>
      </c>
      <c r="F19" s="90">
        <f>F5*1.05</f>
        <v>0.89604465225501406</v>
      </c>
      <c r="G19" s="90">
        <f>G5*1.05</f>
        <v>0.89854003172816832</v>
      </c>
    </row>
  </sheetData>
  <sheetProtection algorithmName="SHA-512" hashValue="WCkPDTYuwb+BAPtCbAxp7+Rle38mZh3cbB2ZSWeMJqBdMrvMMufJ0pmVTzhvBGnCqr60854CXq4GpDLw3JSklw==" saltValue="fUwvwC0YDp8txH/i4t610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4CgNl9PuJZI/Re9qgfj4p0LeuCjHAEW0v3B5IC390p+fhb87n9I5Rf2z16chEOIUdAxqJcRIx/KcsCzZ0xoCFg==" saltValue="ThBW11o+e9Y/F3cYPrV4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C2Lr+UWb7iz/hU/d8dnOzZ4LtNZ4LcZf1YcBT0d1ZDLfEf5hjSJBFn98cm7nVesbVMUA/D93e7Tocn4Gh8fqeA==" saltValue="mJndKubOd+vGV/JgZpLSO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1.2632318123918551E-2</v>
      </c>
    </row>
    <row r="4" spans="1:8" ht="15.75" customHeight="1" x14ac:dyDescent="0.25">
      <c r="B4" s="19" t="s">
        <v>79</v>
      </c>
      <c r="C4" s="101">
        <v>0.15468648780443101</v>
      </c>
    </row>
    <row r="5" spans="1:8" ht="15.75" customHeight="1" x14ac:dyDescent="0.25">
      <c r="B5" s="19" t="s">
        <v>80</v>
      </c>
      <c r="C5" s="101">
        <v>6.3245920765827357E-2</v>
      </c>
    </row>
    <row r="6" spans="1:8" ht="15.75" customHeight="1" x14ac:dyDescent="0.25">
      <c r="B6" s="19" t="s">
        <v>81</v>
      </c>
      <c r="C6" s="101">
        <v>0.22054963089059751</v>
      </c>
    </row>
    <row r="7" spans="1:8" ht="15.75" customHeight="1" x14ac:dyDescent="0.25">
      <c r="B7" s="19" t="s">
        <v>82</v>
      </c>
      <c r="C7" s="101">
        <v>0.36138163848105281</v>
      </c>
    </row>
    <row r="8" spans="1:8" ht="15.75" customHeight="1" x14ac:dyDescent="0.25">
      <c r="B8" s="19" t="s">
        <v>83</v>
      </c>
      <c r="C8" s="101">
        <v>2.5383001996065011E-2</v>
      </c>
    </row>
    <row r="9" spans="1:8" ht="15.75" customHeight="1" x14ac:dyDescent="0.25">
      <c r="B9" s="19" t="s">
        <v>84</v>
      </c>
      <c r="C9" s="101">
        <v>6.1954909856389608E-2</v>
      </c>
    </row>
    <row r="10" spans="1:8" ht="15.75" customHeight="1" x14ac:dyDescent="0.25">
      <c r="B10" s="19" t="s">
        <v>85</v>
      </c>
      <c r="C10" s="101">
        <v>0.1001660920817183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0.1819966669694566</v>
      </c>
      <c r="D14" s="55">
        <v>0.1819966669694566</v>
      </c>
      <c r="E14" s="55">
        <v>0.1819966669694566</v>
      </c>
      <c r="F14" s="55">
        <v>0.1819966669694566</v>
      </c>
    </row>
    <row r="15" spans="1:8" ht="15.75" customHeight="1" x14ac:dyDescent="0.25">
      <c r="B15" s="19" t="s">
        <v>88</v>
      </c>
      <c r="C15" s="101">
        <v>0.2561052660732222</v>
      </c>
      <c r="D15" s="101">
        <v>0.2561052660732222</v>
      </c>
      <c r="E15" s="101">
        <v>0.2561052660732222</v>
      </c>
      <c r="F15" s="101">
        <v>0.2561052660732222</v>
      </c>
    </row>
    <row r="16" spans="1:8" ht="15.75" customHeight="1" x14ac:dyDescent="0.25">
      <c r="B16" s="19" t="s">
        <v>89</v>
      </c>
      <c r="C16" s="101">
        <v>2.582355586385671E-2</v>
      </c>
      <c r="D16" s="101">
        <v>2.582355586385671E-2</v>
      </c>
      <c r="E16" s="101">
        <v>2.582355586385671E-2</v>
      </c>
      <c r="F16" s="101">
        <v>2.582355586385671E-2</v>
      </c>
    </row>
    <row r="17" spans="1:8" ht="15.75" customHeight="1" x14ac:dyDescent="0.25">
      <c r="B17" s="19" t="s">
        <v>90</v>
      </c>
      <c r="C17" s="101">
        <v>3.3348458457574122E-2</v>
      </c>
      <c r="D17" s="101">
        <v>3.3348458457574122E-2</v>
      </c>
      <c r="E17" s="101">
        <v>3.3348458457574122E-2</v>
      </c>
      <c r="F17" s="101">
        <v>3.3348458457574122E-2</v>
      </c>
    </row>
    <row r="18" spans="1:8" ht="15.75" customHeight="1" x14ac:dyDescent="0.25">
      <c r="B18" s="19" t="s">
        <v>91</v>
      </c>
      <c r="C18" s="101">
        <v>1.6983176020919401E-3</v>
      </c>
      <c r="D18" s="101">
        <v>1.6983176020919401E-3</v>
      </c>
      <c r="E18" s="101">
        <v>1.6983176020919401E-3</v>
      </c>
      <c r="F18" s="101">
        <v>1.6983176020919401E-3</v>
      </c>
    </row>
    <row r="19" spans="1:8" ht="15.75" customHeight="1" x14ac:dyDescent="0.25">
      <c r="B19" s="19" t="s">
        <v>92</v>
      </c>
      <c r="C19" s="101">
        <v>3.7124479421282351E-2</v>
      </c>
      <c r="D19" s="101">
        <v>3.7124479421282351E-2</v>
      </c>
      <c r="E19" s="101">
        <v>3.7124479421282351E-2</v>
      </c>
      <c r="F19" s="101">
        <v>3.7124479421282351E-2</v>
      </c>
    </row>
    <row r="20" spans="1:8" ht="15.75" customHeight="1" x14ac:dyDescent="0.25">
      <c r="B20" s="19" t="s">
        <v>93</v>
      </c>
      <c r="C20" s="101">
        <v>3.5319826375232468E-3</v>
      </c>
      <c r="D20" s="101">
        <v>3.5319826375232468E-3</v>
      </c>
      <c r="E20" s="101">
        <v>3.5319826375232468E-3</v>
      </c>
      <c r="F20" s="101">
        <v>3.5319826375232468E-3</v>
      </c>
    </row>
    <row r="21" spans="1:8" ht="15.75" customHeight="1" x14ac:dyDescent="0.25">
      <c r="B21" s="19" t="s">
        <v>94</v>
      </c>
      <c r="C21" s="101">
        <v>0.1194835851410818</v>
      </c>
      <c r="D21" s="101">
        <v>0.1194835851410818</v>
      </c>
      <c r="E21" s="101">
        <v>0.1194835851410818</v>
      </c>
      <c r="F21" s="101">
        <v>0.1194835851410818</v>
      </c>
    </row>
    <row r="22" spans="1:8" ht="15.75" customHeight="1" x14ac:dyDescent="0.25">
      <c r="B22" s="19" t="s">
        <v>95</v>
      </c>
      <c r="C22" s="101">
        <v>0.34088768783391099</v>
      </c>
      <c r="D22" s="101">
        <v>0.34088768783391099</v>
      </c>
      <c r="E22" s="101">
        <v>0.34088768783391099</v>
      </c>
      <c r="F22" s="101">
        <v>0.34088768783391099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5.2819977999999997E-2</v>
      </c>
    </row>
    <row r="27" spans="1:8" ht="15.75" customHeight="1" x14ac:dyDescent="0.25">
      <c r="B27" s="19" t="s">
        <v>102</v>
      </c>
      <c r="C27" s="101">
        <v>7.1861679999999997E-3</v>
      </c>
    </row>
    <row r="28" spans="1:8" ht="15.75" customHeight="1" x14ac:dyDescent="0.25">
      <c r="B28" s="19" t="s">
        <v>103</v>
      </c>
      <c r="C28" s="101">
        <v>0.250016285</v>
      </c>
    </row>
    <row r="29" spans="1:8" ht="15.75" customHeight="1" x14ac:dyDescent="0.25">
      <c r="B29" s="19" t="s">
        <v>104</v>
      </c>
      <c r="C29" s="101">
        <v>9.3256678999999995E-2</v>
      </c>
    </row>
    <row r="30" spans="1:8" ht="15.75" customHeight="1" x14ac:dyDescent="0.25">
      <c r="B30" s="19" t="s">
        <v>2</v>
      </c>
      <c r="C30" s="101">
        <v>0.12997281799999999</v>
      </c>
    </row>
    <row r="31" spans="1:8" ht="15.75" customHeight="1" x14ac:dyDescent="0.25">
      <c r="B31" s="19" t="s">
        <v>105</v>
      </c>
      <c r="C31" s="101">
        <v>6.0292912999999997E-2</v>
      </c>
    </row>
    <row r="32" spans="1:8" ht="15.75" customHeight="1" x14ac:dyDescent="0.25">
      <c r="B32" s="19" t="s">
        <v>106</v>
      </c>
      <c r="C32" s="101">
        <v>6.2887368999999999E-2</v>
      </c>
    </row>
    <row r="33" spans="2:3" ht="15.75" customHeight="1" x14ac:dyDescent="0.25">
      <c r="B33" s="19" t="s">
        <v>107</v>
      </c>
      <c r="C33" s="101">
        <v>0.164273895</v>
      </c>
    </row>
    <row r="34" spans="2:3" ht="15.75" customHeight="1" x14ac:dyDescent="0.25">
      <c r="B34" s="19" t="s">
        <v>108</v>
      </c>
      <c r="C34" s="101">
        <v>0.17929389600000001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zJiMxqxrIMoAls0khNbuuNqEFLmBblvA5Iulv/B025htXmc19x3MONSlNcd5rSVyQmhcLsRCUsFW8D+zN3AwMA==" saltValue="FxCe0+I22b6eAGDNToFXI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0.41151213227063788</v>
      </c>
      <c r="D2" s="52">
        <f>IFERROR(1-_xlfn.NORM.DIST(_xlfn.NORM.INV(SUM(D4:D5), 0, 1) + 1, 0, 1, TRUE), "")</f>
        <v>0.41151213227063788</v>
      </c>
      <c r="E2" s="52">
        <f>IFERROR(1-_xlfn.NORM.DIST(_xlfn.NORM.INV(SUM(E4:E5), 0, 1) + 1, 0, 1, TRUE), "")</f>
        <v>0.43845184879433152</v>
      </c>
      <c r="F2" s="52">
        <f>IFERROR(1-_xlfn.NORM.DIST(_xlfn.NORM.INV(SUM(F4:F5), 0, 1) + 1, 0, 1, TRUE), "")</f>
        <v>0.28910436648051485</v>
      </c>
      <c r="G2" s="52">
        <f>IFERROR(1-_xlfn.NORM.DIST(_xlfn.NORM.INV(SUM(G4:G5), 0, 1) + 1, 0, 1, TRUE), "")</f>
        <v>0.19410062053018295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0.3697146442696414</v>
      </c>
      <c r="D3" s="52">
        <f>IFERROR(_xlfn.NORM.DIST(_xlfn.NORM.INV(SUM(D4:D5), 0, 1) + 1, 0, 1, TRUE) - SUM(D4:D5), "")</f>
        <v>0.3697146442696414</v>
      </c>
      <c r="E3" s="52">
        <f>IFERROR(_xlfn.NORM.DIST(_xlfn.NORM.INV(SUM(E4:E5), 0, 1) + 1, 0, 1, TRUE) - SUM(E4:E5), "")</f>
        <v>0.36252190185655087</v>
      </c>
      <c r="F3" s="52">
        <f>IFERROR(_xlfn.NORM.DIST(_xlfn.NORM.INV(SUM(F4:F5), 0, 1) + 1, 0, 1, TRUE) - SUM(F4:F5), "")</f>
        <v>0.38237321955044518</v>
      </c>
      <c r="G3" s="52">
        <f>IFERROR(_xlfn.NORM.DIST(_xlfn.NORM.INV(SUM(G4:G5), 0, 1) + 1, 0, 1, TRUE) - SUM(G4:G5), "")</f>
        <v>0.36042982123083406</v>
      </c>
    </row>
    <row r="4" spans="1:15" ht="15.75" customHeight="1" x14ac:dyDescent="0.25">
      <c r="B4" s="5" t="s">
        <v>114</v>
      </c>
      <c r="C4" s="45">
        <v>0.13137109577655801</v>
      </c>
      <c r="D4" s="53">
        <v>0.13137109577655801</v>
      </c>
      <c r="E4" s="53">
        <v>0.104438312351704</v>
      </c>
      <c r="F4" s="53">
        <v>0.21142743527889299</v>
      </c>
      <c r="G4" s="53">
        <v>0.22741025686263999</v>
      </c>
    </row>
    <row r="5" spans="1:15" ht="15.75" customHeight="1" x14ac:dyDescent="0.25">
      <c r="B5" s="5" t="s">
        <v>115</v>
      </c>
      <c r="C5" s="45">
        <v>8.7402127683162703E-2</v>
      </c>
      <c r="D5" s="53">
        <v>8.7402127683162703E-2</v>
      </c>
      <c r="E5" s="53">
        <v>9.4587936997413594E-2</v>
      </c>
      <c r="F5" s="53">
        <v>0.117094978690147</v>
      </c>
      <c r="G5" s="53">
        <v>0.218059301376343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0.53131504888641068</v>
      </c>
      <c r="D8" s="52">
        <f>IFERROR(1-_xlfn.NORM.DIST(_xlfn.NORM.INV(SUM(D10:D11), 0, 1) + 1, 0, 1, TRUE), "")</f>
        <v>0.53131504888641068</v>
      </c>
      <c r="E8" s="52">
        <f>IFERROR(1-_xlfn.NORM.DIST(_xlfn.NORM.INV(SUM(E10:E11), 0, 1) + 1, 0, 1, TRUE), "")</f>
        <v>0.55368904891406112</v>
      </c>
      <c r="F8" s="52">
        <f>IFERROR(1-_xlfn.NORM.DIST(_xlfn.NORM.INV(SUM(F10:F11), 0, 1) + 1, 0, 1, TRUE), "")</f>
        <v>0.67297938551912528</v>
      </c>
      <c r="G8" s="52">
        <f>IFERROR(1-_xlfn.NORM.DIST(_xlfn.NORM.INV(SUM(G10:G11), 0, 1) + 1, 0, 1, TRUE), "")</f>
        <v>0.7499299217203651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0.32829655175102523</v>
      </c>
      <c r="D9" s="52">
        <f>IFERROR(_xlfn.NORM.DIST(_xlfn.NORM.INV(SUM(D10:D11), 0, 1) + 1, 0, 1, TRUE) - SUM(D10:D11), "")</f>
        <v>0.32829655175102523</v>
      </c>
      <c r="E9" s="52">
        <f>IFERROR(_xlfn.NORM.DIST(_xlfn.NORM.INV(SUM(E10:E11), 0, 1) + 1, 0, 1, TRUE) - SUM(E10:E11), "")</f>
        <v>0.31812063482607805</v>
      </c>
      <c r="F9" s="52">
        <f>IFERROR(_xlfn.NORM.DIST(_xlfn.NORM.INV(SUM(F10:F11), 0, 1) + 1, 0, 1, TRUE) - SUM(F10:F11), "")</f>
        <v>0.25323378208865893</v>
      </c>
      <c r="G9" s="52">
        <f>IFERROR(_xlfn.NORM.DIST(_xlfn.NORM.INV(SUM(G10:G11), 0, 1) + 1, 0, 1, TRUE) - SUM(G10:G11), "")</f>
        <v>0.20303122976776031</v>
      </c>
    </row>
    <row r="10" spans="1:15" ht="15.75" customHeight="1" x14ac:dyDescent="0.25">
      <c r="B10" s="5" t="s">
        <v>119</v>
      </c>
      <c r="C10" s="45">
        <v>7.6962091028690297E-2</v>
      </c>
      <c r="D10" s="53">
        <v>7.6962091028690297E-2</v>
      </c>
      <c r="E10" s="53">
        <v>8.123525977134699E-2</v>
      </c>
      <c r="F10" s="53">
        <v>5.25322034955025E-2</v>
      </c>
      <c r="G10" s="53">
        <v>3.4240134060382801E-2</v>
      </c>
    </row>
    <row r="11" spans="1:15" ht="15.75" customHeight="1" x14ac:dyDescent="0.25">
      <c r="B11" s="5" t="s">
        <v>120</v>
      </c>
      <c r="C11" s="45">
        <v>6.3426308333873707E-2</v>
      </c>
      <c r="D11" s="53">
        <v>6.3426308333873707E-2</v>
      </c>
      <c r="E11" s="53">
        <v>4.6955056488513898E-2</v>
      </c>
      <c r="F11" s="53">
        <v>2.1254628896713298E-2</v>
      </c>
      <c r="G11" s="53">
        <v>1.27987144514918E-2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0.38510173949999998</v>
      </c>
      <c r="D14" s="54">
        <v>0.38329127910900002</v>
      </c>
      <c r="E14" s="54">
        <v>0.38329127910900002</v>
      </c>
      <c r="F14" s="54">
        <v>0.26921571210599998</v>
      </c>
      <c r="G14" s="54">
        <v>0.26921571210599998</v>
      </c>
      <c r="H14" s="4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4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0.16811886009090149</v>
      </c>
      <c r="D15" s="52">
        <f t="shared" si="0"/>
        <v>0.16732849093398772</v>
      </c>
      <c r="E15" s="52">
        <f t="shared" si="0"/>
        <v>0.16732849093398772</v>
      </c>
      <c r="F15" s="52">
        <f t="shared" si="0"/>
        <v>0.11752800362985903</v>
      </c>
      <c r="G15" s="52">
        <f t="shared" si="0"/>
        <v>0.11752800362985903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xGDzH4gb3QbewEixixkJHuXhdz/TpUKKNqb+wewWaor44cxl5x3yPT+voi6kDfvl6EggEqDiKgCM4Dyw6fxdvQ==" saltValue="nuln7C5tT10YfRKZiKul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0.559345543384552</v>
      </c>
      <c r="D2" s="53">
        <v>0.46563719999999997</v>
      </c>
      <c r="E2" s="53"/>
      <c r="F2" s="53"/>
      <c r="G2" s="53"/>
    </row>
    <row r="3" spans="1:7" x14ac:dyDescent="0.25">
      <c r="B3" s="3" t="s">
        <v>130</v>
      </c>
      <c r="C3" s="53">
        <v>7.8223004937171894E-2</v>
      </c>
      <c r="D3" s="53">
        <v>0.1007064</v>
      </c>
      <c r="E3" s="53"/>
      <c r="F3" s="53"/>
      <c r="G3" s="53"/>
    </row>
    <row r="4" spans="1:7" x14ac:dyDescent="0.25">
      <c r="B4" s="3" t="s">
        <v>131</v>
      </c>
      <c r="C4" s="53">
        <v>0.32265946269035289</v>
      </c>
      <c r="D4" s="53">
        <v>0.35786780000000001</v>
      </c>
      <c r="E4" s="53">
        <v>0.78967547416687001</v>
      </c>
      <c r="F4" s="53">
        <v>0.63183218240737904</v>
      </c>
      <c r="G4" s="53"/>
    </row>
    <row r="5" spans="1:7" x14ac:dyDescent="0.25">
      <c r="B5" s="3" t="s">
        <v>132</v>
      </c>
      <c r="C5" s="52">
        <v>3.9771992713212988E-2</v>
      </c>
      <c r="D5" s="52">
        <v>7.5788594782352406E-2</v>
      </c>
      <c r="E5" s="52">
        <f>1-SUM(E2:E4)</f>
        <v>0.21032452583312999</v>
      </c>
      <c r="F5" s="52">
        <f>1-SUM(F2:F4)</f>
        <v>0.36816781759262096</v>
      </c>
      <c r="G5" s="52">
        <f>1-SUM(G2:G4)</f>
        <v>1</v>
      </c>
    </row>
  </sheetData>
  <sheetProtection algorithmName="SHA-512" hashValue="XHBkytflYnGa+WHa2oDFpaNu/4XY5/YIL9hqOYOQqTQRJD8S88f5IQgxqKSO4Jippys+jXt6hMhGxSEX3nbVWQ==" saltValue="5pg1ElCMBa9EjWMYhbrBZ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adFniDr5978phduo4nD9Z+w+h7m5IQfhNvPBkj3yH9YitK56CJbpZNjvm/ygVcIx+Ygnu0fB33ZXmHeU3MSUg==" saltValue="Jp4EVi01C1HzyEjQtMnGe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boDPIM5EtmikdtRbifnFw9JoGXxqs7jDr6pPjtPWPZv5Z0FBrw1as6uOtcJkyYBrllraJszOg5bJ06Ehcxl4OQ==" saltValue="JFvHDNNYj0gEqUZf2OGWC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9jNu1wpKizIrizG+Uy5mcjW6pXVgvAd/hlFV/9om60pxHGCZGck7J/F8qEqtuzvqj2W0+tQM6gK/iBTIRiPbhQ==" saltValue="GOaBVifA1y4gaPeiSwDgW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wF7jr9J2+eXgnG89Upvz94KdWxq8jsarhbdfFicDM5udl7Cvx9tQE2DhQRpXDDQ0Ht8QkiSBQjWqyQp9ykfSgA==" saltValue="H1v7Hk/67zoK9QA+whGCJ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2024-03-15T03:13:36Z</dcterms:modified>
</cp:coreProperties>
</file>