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8E5BF487-1D89-4EAF-8986-67F9231BFDC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C19" i="26"/>
  <c r="C17" i="26"/>
  <c r="C12" i="26"/>
  <c r="C10" i="26"/>
  <c r="G5" i="26"/>
  <c r="G12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A40" i="2"/>
  <c r="I39" i="2"/>
  <c r="H39" i="2"/>
  <c r="G39" i="2"/>
  <c r="H38" i="2"/>
  <c r="G38" i="2"/>
  <c r="A37" i="2"/>
  <c r="A35" i="2"/>
  <c r="A34" i="2"/>
  <c r="A32" i="2"/>
  <c r="A26" i="2"/>
  <c r="A24" i="2"/>
  <c r="A23" i="2"/>
  <c r="A22" i="2"/>
  <c r="A15" i="2"/>
  <c r="A14" i="2"/>
  <c r="A13" i="2"/>
  <c r="H11" i="2"/>
  <c r="I11" i="2" s="1"/>
  <c r="G11" i="2"/>
  <c r="I10" i="2"/>
  <c r="H10" i="2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6" i="2" s="1"/>
  <c r="C33" i="1"/>
  <c r="C20" i="1"/>
  <c r="D19" i="26" l="1"/>
  <c r="G19" i="26"/>
  <c r="A16" i="2"/>
  <c r="A27" i="2"/>
  <c r="A38" i="2"/>
  <c r="I40" i="2"/>
  <c r="A18" i="2"/>
  <c r="A29" i="2"/>
  <c r="I38" i="2"/>
  <c r="E10" i="26"/>
  <c r="A19" i="2"/>
  <c r="A30" i="2"/>
  <c r="A21" i="2"/>
  <c r="A31" i="2"/>
  <c r="A39" i="2"/>
  <c r="D17" i="26"/>
  <c r="E19" i="26"/>
  <c r="A17" i="2"/>
  <c r="A25" i="2"/>
  <c r="A33" i="2"/>
  <c r="G10" i="26"/>
  <c r="F10" i="26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<sst xmlns="http://schemas.openxmlformats.org/spreadsheetml/2006/main" count="2092" uniqueCount="337">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</sst>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1923293.78125</v>
      </c>
    </row>
    <row r="8" spans="1:3" ht="15" customHeight="1" x14ac:dyDescent="0.25">
      <c r="B8" s="5" t="s">
        <v>19</v>
      </c>
      <c r="C8" s="44">
        <v>0.55500000000000005</v>
      </c>
    </row>
    <row r="9" spans="1:3" ht="15" customHeight="1" x14ac:dyDescent="0.25">
      <c r="B9" s="5" t="s">
        <v>20</v>
      </c>
      <c r="C9" s="45">
        <v>7.0000000000000007E-2</v>
      </c>
    </row>
    <row r="10" spans="1:3" ht="15" customHeight="1" x14ac:dyDescent="0.25">
      <c r="B10" s="5" t="s">
        <v>21</v>
      </c>
      <c r="C10" s="45">
        <v>0.29895069122314499</v>
      </c>
    </row>
    <row r="11" spans="1:3" ht="15" customHeight="1" x14ac:dyDescent="0.25">
      <c r="B11" s="5" t="s">
        <v>22</v>
      </c>
      <c r="C11" s="45">
        <v>0.439</v>
      </c>
    </row>
    <row r="12" spans="1:3" ht="15" customHeight="1" x14ac:dyDescent="0.25">
      <c r="B12" s="5" t="s">
        <v>23</v>
      </c>
      <c r="C12" s="45">
        <v>0.53900000000000003</v>
      </c>
    </row>
    <row r="13" spans="1:3" ht="15" customHeight="1" x14ac:dyDescent="0.25">
      <c r="B13" s="5" t="s">
        <v>24</v>
      </c>
      <c r="C13" s="45">
        <v>0.34100000000000003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4.6199999999999998E-2</v>
      </c>
    </row>
    <row r="24" spans="1:3" ht="15" customHeight="1" x14ac:dyDescent="0.25">
      <c r="B24" s="15" t="s">
        <v>33</v>
      </c>
      <c r="C24" s="45">
        <v>0.50180000000000002</v>
      </c>
    </row>
    <row r="25" spans="1:3" ht="15" customHeight="1" x14ac:dyDescent="0.25">
      <c r="B25" s="15" t="s">
        <v>34</v>
      </c>
      <c r="C25" s="45">
        <v>0.36330000000000001</v>
      </c>
    </row>
    <row r="26" spans="1:3" ht="15" customHeight="1" x14ac:dyDescent="0.25">
      <c r="B26" s="15" t="s">
        <v>35</v>
      </c>
      <c r="C26" s="45">
        <v>8.8699999999999987E-2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0.297655630046327</v>
      </c>
    </row>
    <row r="30" spans="1:3" ht="14.25" customHeight="1" x14ac:dyDescent="0.25">
      <c r="B30" s="25" t="s">
        <v>38</v>
      </c>
      <c r="C30" s="99">
        <v>3.5984084887166701E-2</v>
      </c>
    </row>
    <row r="31" spans="1:3" ht="14.25" customHeight="1" x14ac:dyDescent="0.25">
      <c r="B31" s="25" t="s">
        <v>39</v>
      </c>
      <c r="C31" s="99">
        <v>6.4981738199245992E-2</v>
      </c>
    </row>
    <row r="32" spans="1:3" ht="14.25" customHeight="1" x14ac:dyDescent="0.25">
      <c r="B32" s="25" t="s">
        <v>40</v>
      </c>
      <c r="C32" s="99">
        <v>0.60137854686726</v>
      </c>
    </row>
    <row r="33" spans="1:5" ht="13" customHeight="1" x14ac:dyDescent="0.25">
      <c r="B33" s="27" t="s">
        <v>41</v>
      </c>
      <c r="C33" s="48">
        <f>SUM(C29:C32)</f>
        <v>0.99999999999999967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15.8740839717442</v>
      </c>
    </row>
    <row r="38" spans="1:5" ht="15" customHeight="1" x14ac:dyDescent="0.25">
      <c r="B38" s="11" t="s">
        <v>45</v>
      </c>
      <c r="C38" s="43">
        <v>26.290133744035799</v>
      </c>
      <c r="D38" s="12"/>
      <c r="E38" s="13"/>
    </row>
    <row r="39" spans="1:5" ht="15" customHeight="1" x14ac:dyDescent="0.25">
      <c r="B39" s="11" t="s">
        <v>46</v>
      </c>
      <c r="C39" s="43">
        <v>34.326129964299597</v>
      </c>
      <c r="D39" s="12"/>
      <c r="E39" s="12"/>
    </row>
    <row r="40" spans="1:5" ht="15" customHeight="1" x14ac:dyDescent="0.25">
      <c r="B40" s="11" t="s">
        <v>47</v>
      </c>
      <c r="C40" s="100">
        <v>2.48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16.936096880000001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0</v>
      </c>
      <c r="D45" s="12"/>
    </row>
    <row r="46" spans="1:5" ht="15.75" customHeight="1" x14ac:dyDescent="0.25">
      <c r="B46" s="11" t="s">
        <v>52</v>
      </c>
      <c r="C46" s="45">
        <v>9.3130199999999996E-2</v>
      </c>
      <c r="D46" s="12"/>
    </row>
    <row r="47" spans="1:5" ht="15.75" customHeight="1" x14ac:dyDescent="0.25">
      <c r="B47" s="11" t="s">
        <v>53</v>
      </c>
      <c r="C47" s="45">
        <v>0.15495629999999999</v>
      </c>
      <c r="D47" s="12"/>
      <c r="E47" s="13"/>
    </row>
    <row r="48" spans="1:5" ht="15" customHeight="1" x14ac:dyDescent="0.25">
      <c r="B48" s="11" t="s">
        <v>54</v>
      </c>
      <c r="C48" s="46">
        <v>0.75191350000000001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0.62000600000000006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7.87070039999999E-2</v>
      </c>
    </row>
    <row r="63" spans="1:4" ht="15.75" customHeight="1" x14ac:dyDescent="0.3">
      <c r="A63" s="4"/>
    </row>
  </sheetData>
  <sheetProtection algorithmName="SHA-512" hashValue="EnB+peoQeI5qrZ3wsY9xZMtssMH0sXaBCEAk3t6I3tyifDCVlodToj5EORYPKCzFIseTIhKVogJqxaFiQOuM1w==" saltValue="/9xciEPLWsk2r6Y4Chzy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0.18083051281450499</v>
      </c>
      <c r="C2" s="98">
        <v>0.95</v>
      </c>
      <c r="D2" s="56">
        <v>36.079849986609638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47.391202091117947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70.283560158574318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0.37755207944684438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15.05045142161304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15.05045142161304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15.05045142161304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15.05045142161304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15.05045142161304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15.05045142161304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0.66958372728266202</v>
      </c>
      <c r="C16" s="98">
        <v>0.95</v>
      </c>
      <c r="D16" s="56">
        <v>0.2530143942324673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1.723860781546777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1.723860781546777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0.7787983704</v>
      </c>
      <c r="C21" s="98">
        <v>0.95</v>
      </c>
      <c r="D21" s="56">
        <v>4.0598209789868394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25.651202438998769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3.5000000000000003E-2</v>
      </c>
      <c r="C23" s="98">
        <v>0.95</v>
      </c>
      <c r="D23" s="56">
        <v>4.9321676394351552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0.59341061797092598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0.153595936604246</v>
      </c>
      <c r="C27" s="98">
        <v>0.95</v>
      </c>
      <c r="D27" s="56">
        <v>21.74274730131463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0.27450780000000002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63.551452439241622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0.46670911326684161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0.8624233</v>
      </c>
      <c r="C32" s="98">
        <v>0.95</v>
      </c>
      <c r="D32" s="56">
        <v>0.48033470148423679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0.66573842399683902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2E-3</v>
      </c>
      <c r="C38" s="98">
        <v>0.95</v>
      </c>
      <c r="D38" s="56">
        <v>4.0283775058915356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0.2817596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a+m/ychjgI8CVJvWdRC7H6qCx/I0m80XgYy2jAiAy8DTXWbktpoGxl+ZC9mqz3iD8EIuy15nYjFt/wWL6z0C1Q==" saltValue="ADFvnxjTHb2qaPY6jtV3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X/bXIMWiRFago0wf1Xd2eIdB4YKTkCDNxkTxce9Y+J+FrgqucXrD+TdIoP9HXJoqBOCH/zsnWdfqr/hGNQbkbg==" saltValue="H8SR1zU0rbn/x3ACFvj91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KXpwRtOmpqGtkUTt7BhCpgHTaCKVkepllxgiE/xTCtJYyZZdrTunsCpHvCc2paHDMcCzNbbDR73uVJ38nrziXg==" saltValue="HFBNlyaEheF/uhtrqGhA2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9.6740708500146891E-2</v>
      </c>
      <c r="C3" s="21">
        <f>frac_mam_1_5months * 2.6</f>
        <v>9.6740708500146891E-2</v>
      </c>
      <c r="D3" s="21">
        <f>frac_mam_6_11months * 2.6</f>
        <v>7.6170373708009623E-2</v>
      </c>
      <c r="E3" s="21">
        <f>frac_mam_12_23months * 2.6</f>
        <v>6.7657922208309157E-2</v>
      </c>
      <c r="F3" s="21">
        <f>frac_mam_24_59months * 2.6</f>
        <v>1.8542513065040123E-2</v>
      </c>
    </row>
    <row r="4" spans="1:6" ht="15.75" customHeight="1" x14ac:dyDescent="0.25">
      <c r="A4" s="3" t="s">
        <v>208</v>
      </c>
      <c r="B4" s="21">
        <f>frac_sam_1month * 2.6</f>
        <v>4.9098926410079007E-2</v>
      </c>
      <c r="C4" s="21">
        <f>frac_sam_1_5months * 2.6</f>
        <v>4.9098926410079007E-2</v>
      </c>
      <c r="D4" s="21">
        <f>frac_sam_6_11months * 2.6</f>
        <v>4.6685057133436285E-2</v>
      </c>
      <c r="E4" s="21">
        <f>frac_sam_12_23months * 2.6</f>
        <v>1.610959190875294E-2</v>
      </c>
      <c r="F4" s="21">
        <f>frac_sam_24_59months * 2.6</f>
        <v>9.2095770407466804E-3</v>
      </c>
    </row>
  </sheetData>
  <sheetProtection algorithmName="SHA-512" hashValue="Ny6eLTUBwQ2O+28KoHc+Ky6ky1+k/o8e4fkPwetAo+snzNO7uN/430r/lpi1eUU+Jj92NvN4+j5icMXh3s2yGA==" saltValue="oRJ3dP+bVSgi42WSNJM1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0.55500000000000005</v>
      </c>
      <c r="E2" s="60">
        <f>food_insecure</f>
        <v>0.55500000000000005</v>
      </c>
      <c r="F2" s="60">
        <f>food_insecure</f>
        <v>0.55500000000000005</v>
      </c>
      <c r="G2" s="60">
        <f>food_insecure</f>
        <v>0.55500000000000005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0.55500000000000005</v>
      </c>
      <c r="F5" s="60">
        <f>food_insecure</f>
        <v>0.55500000000000005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0.55500000000000005</v>
      </c>
      <c r="F8" s="60">
        <f>food_insecure</f>
        <v>0.55500000000000005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0.55500000000000005</v>
      </c>
      <c r="F9" s="60">
        <f>food_insecure</f>
        <v>0.55500000000000005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0.53900000000000003</v>
      </c>
      <c r="E10" s="60">
        <f>IF(ISBLANK(comm_deliv), frac_children_health_facility,1)</f>
        <v>0.53900000000000003</v>
      </c>
      <c r="F10" s="60">
        <f>IF(ISBLANK(comm_deliv), frac_children_health_facility,1)</f>
        <v>0.53900000000000003</v>
      </c>
      <c r="G10" s="60">
        <f>IF(ISBLANK(comm_deliv), frac_children_health_facility,1)</f>
        <v>0.53900000000000003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0.55500000000000005</v>
      </c>
      <c r="I15" s="60">
        <f>food_insecure</f>
        <v>0.55500000000000005</v>
      </c>
      <c r="J15" s="60">
        <f>food_insecure</f>
        <v>0.55500000000000005</v>
      </c>
      <c r="K15" s="60">
        <f>food_insecure</f>
        <v>0.55500000000000005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0.439</v>
      </c>
      <c r="I18" s="60">
        <f>frac_PW_health_facility</f>
        <v>0.439</v>
      </c>
      <c r="J18" s="60">
        <f>frac_PW_health_facility</f>
        <v>0.439</v>
      </c>
      <c r="K18" s="60">
        <f>frac_PW_health_facility</f>
        <v>0.439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7.0000000000000007E-2</v>
      </c>
      <c r="I19" s="60">
        <f>frac_malaria_risk</f>
        <v>7.0000000000000007E-2</v>
      </c>
      <c r="J19" s="60">
        <f>frac_malaria_risk</f>
        <v>7.0000000000000007E-2</v>
      </c>
      <c r="K19" s="60">
        <f>frac_malaria_risk</f>
        <v>7.0000000000000007E-2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0.34100000000000003</v>
      </c>
      <c r="M24" s="60">
        <f>famplan_unmet_need</f>
        <v>0.34100000000000003</v>
      </c>
      <c r="N24" s="60">
        <f>famplan_unmet_need</f>
        <v>0.34100000000000003</v>
      </c>
      <c r="O24" s="60">
        <f>famplan_unmet_need</f>
        <v>0.34100000000000003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0.42522145823860141</v>
      </c>
      <c r="M25" s="60">
        <f>(1-food_insecure)*(0.49)+food_insecure*(0.7)</f>
        <v>0.60654999999999992</v>
      </c>
      <c r="N25" s="60">
        <f>(1-food_insecure)*(0.49)+food_insecure*(0.7)</f>
        <v>0.60654999999999992</v>
      </c>
      <c r="O25" s="60">
        <f>(1-food_insecure)*(0.49)+food_insecure*(0.7)</f>
        <v>0.60654999999999992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0.18223776781654347</v>
      </c>
      <c r="M26" s="60">
        <f>(1-food_insecure)*(0.21)+food_insecure*(0.3)</f>
        <v>0.25995000000000001</v>
      </c>
      <c r="N26" s="60">
        <f>(1-food_insecure)*(0.21)+food_insecure*(0.3)</f>
        <v>0.25995000000000001</v>
      </c>
      <c r="O26" s="60">
        <f>(1-food_insecure)*(0.21)+food_insecure*(0.3)</f>
        <v>0.25995000000000001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9.3590082721710127E-2</v>
      </c>
      <c r="M27" s="60">
        <f>(1-food_insecure)*(0.3)</f>
        <v>0.13349999999999998</v>
      </c>
      <c r="N27" s="60">
        <f>(1-food_insecure)*(0.3)</f>
        <v>0.13349999999999998</v>
      </c>
      <c r="O27" s="60">
        <f>(1-food_insecure)*(0.3)</f>
        <v>0.13349999999999998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0.29895069122314499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7.0000000000000007E-2</v>
      </c>
      <c r="D34" s="60">
        <f t="shared" si="3"/>
        <v>7.0000000000000007E-2</v>
      </c>
      <c r="E34" s="60">
        <f t="shared" si="3"/>
        <v>7.0000000000000007E-2</v>
      </c>
      <c r="F34" s="60">
        <f t="shared" si="3"/>
        <v>7.0000000000000007E-2</v>
      </c>
      <c r="G34" s="60">
        <f t="shared" si="3"/>
        <v>7.0000000000000007E-2</v>
      </c>
      <c r="H34" s="60">
        <f t="shared" si="3"/>
        <v>7.0000000000000007E-2</v>
      </c>
      <c r="I34" s="60">
        <f t="shared" si="3"/>
        <v>7.0000000000000007E-2</v>
      </c>
      <c r="J34" s="60">
        <f t="shared" si="3"/>
        <v>7.0000000000000007E-2</v>
      </c>
      <c r="K34" s="60">
        <f t="shared" si="3"/>
        <v>7.0000000000000007E-2</v>
      </c>
      <c r="L34" s="60">
        <f t="shared" si="3"/>
        <v>7.0000000000000007E-2</v>
      </c>
      <c r="M34" s="60">
        <f t="shared" si="3"/>
        <v>7.0000000000000007E-2</v>
      </c>
      <c r="N34" s="60">
        <f t="shared" si="3"/>
        <v>7.0000000000000007E-2</v>
      </c>
      <c r="O34" s="60">
        <f t="shared" si="3"/>
        <v>7.0000000000000007E-2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d5dvtRAXMwq1LzXCwIuDQjc0wo3m2P5hNuzEEF12EVLjKHaze+zopermU5XbxAanM1bLK+nZwjzJPV+AtK31Ag==" saltValue="Ys2jVOWdBYyh8E8RkUq/I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gX31jsh87a0sG9Sq+HNYr1/0gCcf256LN9I1KzQj/qxMCCEn4WetGHkXig6FHGzriJFLhi+F+zb/RnXKKDYZcw==" saltValue="RY1WIHUj9bVQb72U4ovAh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tNwK62jUIZuJCeL8Vx9SgXyD29+32lGIqx+aA3PqLMDSNeq+ZtrFIMub08cjeLGlJ2GpSXiX4JskgEZ4oahWDg==" saltValue="mmWzDxrGCPcs226b7bNXA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ZMVZVtSei0CLEYddhlwF8LDdbspsWjnhWYJNiizaj1+TJE7WQ7lFh6PKE1y/6U61J8ykds9Im6bAz/Rz8GIQA==" saltValue="yZBRbw3croMJqTeE4j+H+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q9Mtfsrxl5ZSWTL5rF5gmJNOSlpfj4Nz6iqRpcYRSKOEd2f+yNotS4ScBfLfKt+6MoYk69ssna78CmyOMXkgFQ==" saltValue="QvchYpKJgct+sydaLa40u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ZeZYjCu9s3FzKg7ItTvAQ6a3Y2+aqOqFD3K1o2GUDpOmYn3G6M2E1pUGkwmJRxpH6+EvVhtaBBNL3aCPMd/qDw==" saltValue="/uDcigKnvA+0pvZVdd+An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375877.65340000001</v>
      </c>
      <c r="C2" s="49">
        <v>718000</v>
      </c>
      <c r="D2" s="49">
        <v>1133000</v>
      </c>
      <c r="E2" s="49">
        <v>14300</v>
      </c>
      <c r="F2" s="49">
        <v>13400</v>
      </c>
      <c r="G2" s="17">
        <f t="shared" ref="G2:G11" si="0">C2+D2+E2+F2</f>
        <v>1878700</v>
      </c>
      <c r="H2" s="17">
        <f t="shared" ref="H2:H11" si="1">(B2 + stillbirth*B2/(1000-stillbirth))/(1-abortion)</f>
        <v>434492.30074447708</v>
      </c>
      <c r="I2" s="17">
        <f t="shared" ref="I2:I11" si="2">G2-H2</f>
        <v>1444207.6992555228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377486.114</v>
      </c>
      <c r="C3" s="50">
        <v>739000</v>
      </c>
      <c r="D3" s="50">
        <v>1165000</v>
      </c>
      <c r="E3" s="50">
        <v>14400</v>
      </c>
      <c r="F3" s="50">
        <v>13500</v>
      </c>
      <c r="G3" s="17">
        <f t="shared" si="0"/>
        <v>1931900</v>
      </c>
      <c r="H3" s="17">
        <f t="shared" si="1"/>
        <v>436351.58591460966</v>
      </c>
      <c r="I3" s="17">
        <f t="shared" si="2"/>
        <v>1495548.4140853903</v>
      </c>
    </row>
    <row r="4" spans="1:9" ht="15.75" customHeight="1" x14ac:dyDescent="0.25">
      <c r="A4" s="5">
        <f t="shared" si="3"/>
        <v>2023</v>
      </c>
      <c r="B4" s="49">
        <v>378814.98180000001</v>
      </c>
      <c r="C4" s="50">
        <v>761000</v>
      </c>
      <c r="D4" s="50">
        <v>1202000</v>
      </c>
      <c r="E4" s="50">
        <v>14600</v>
      </c>
      <c r="F4" s="50">
        <v>13700</v>
      </c>
      <c r="G4" s="17">
        <f t="shared" si="0"/>
        <v>1991300</v>
      </c>
      <c r="H4" s="17">
        <f t="shared" si="1"/>
        <v>437887.67837071751</v>
      </c>
      <c r="I4" s="17">
        <f t="shared" si="2"/>
        <v>1553412.3216292826</v>
      </c>
    </row>
    <row r="5" spans="1:9" ht="15.75" customHeight="1" x14ac:dyDescent="0.25">
      <c r="A5" s="5">
        <f t="shared" si="3"/>
        <v>2024</v>
      </c>
      <c r="B5" s="49">
        <v>379864.25679999997</v>
      </c>
      <c r="C5" s="50">
        <v>781000</v>
      </c>
      <c r="D5" s="50">
        <v>1241000</v>
      </c>
      <c r="E5" s="50">
        <v>14800</v>
      </c>
      <c r="F5" s="50">
        <v>13800</v>
      </c>
      <c r="G5" s="17">
        <f t="shared" si="0"/>
        <v>2050600</v>
      </c>
      <c r="H5" s="17">
        <f t="shared" si="1"/>
        <v>439100.57811280055</v>
      </c>
      <c r="I5" s="17">
        <f t="shared" si="2"/>
        <v>1611499.4218871994</v>
      </c>
    </row>
    <row r="6" spans="1:9" ht="15.75" customHeight="1" x14ac:dyDescent="0.25">
      <c r="A6" s="5">
        <f t="shared" si="3"/>
        <v>2025</v>
      </c>
      <c r="B6" s="49">
        <v>380660.11200000002</v>
      </c>
      <c r="C6" s="50">
        <v>798000</v>
      </c>
      <c r="D6" s="50">
        <v>1280000</v>
      </c>
      <c r="E6" s="50">
        <v>14800</v>
      </c>
      <c r="F6" s="50">
        <v>13800</v>
      </c>
      <c r="G6" s="17">
        <f t="shared" si="0"/>
        <v>2106600</v>
      </c>
      <c r="H6" s="17">
        <f t="shared" si="1"/>
        <v>440020.53957839875</v>
      </c>
      <c r="I6" s="17">
        <f t="shared" si="2"/>
        <v>1666579.4604216013</v>
      </c>
    </row>
    <row r="7" spans="1:9" ht="15.75" customHeight="1" x14ac:dyDescent="0.25">
      <c r="A7" s="5">
        <f t="shared" si="3"/>
        <v>2026</v>
      </c>
      <c r="B7" s="49">
        <v>383729.33100000001</v>
      </c>
      <c r="C7" s="50">
        <v>812000</v>
      </c>
      <c r="D7" s="50">
        <v>1320000</v>
      </c>
      <c r="E7" s="50">
        <v>15100</v>
      </c>
      <c r="F7" s="50">
        <v>13900</v>
      </c>
      <c r="G7" s="17">
        <f t="shared" si="0"/>
        <v>2161000</v>
      </c>
      <c r="H7" s="17">
        <f t="shared" si="1"/>
        <v>443568.37492518249</v>
      </c>
      <c r="I7" s="17">
        <f t="shared" si="2"/>
        <v>1717431.6250748176</v>
      </c>
    </row>
    <row r="8" spans="1:9" ht="15.75" customHeight="1" x14ac:dyDescent="0.25">
      <c r="A8" s="5">
        <f t="shared" si="3"/>
        <v>2027</v>
      </c>
      <c r="B8" s="49">
        <v>386667.99599999998</v>
      </c>
      <c r="C8" s="50">
        <v>823000</v>
      </c>
      <c r="D8" s="50">
        <v>1359000</v>
      </c>
      <c r="E8" s="50">
        <v>15200</v>
      </c>
      <c r="F8" s="50">
        <v>14000</v>
      </c>
      <c r="G8" s="17">
        <f t="shared" si="0"/>
        <v>2211200</v>
      </c>
      <c r="H8" s="17">
        <f t="shared" si="1"/>
        <v>446965.29758184415</v>
      </c>
      <c r="I8" s="17">
        <f t="shared" si="2"/>
        <v>1764234.702418156</v>
      </c>
    </row>
    <row r="9" spans="1:9" ht="15.75" customHeight="1" x14ac:dyDescent="0.25">
      <c r="A9" s="5">
        <f t="shared" si="3"/>
        <v>2028</v>
      </c>
      <c r="B9" s="49">
        <v>389449.00400000007</v>
      </c>
      <c r="C9" s="50">
        <v>832000</v>
      </c>
      <c r="D9" s="50">
        <v>1397000</v>
      </c>
      <c r="E9" s="50">
        <v>15400</v>
      </c>
      <c r="F9" s="50">
        <v>14100</v>
      </c>
      <c r="G9" s="17">
        <f t="shared" si="0"/>
        <v>2258500</v>
      </c>
      <c r="H9" s="17">
        <f t="shared" si="1"/>
        <v>450179.97808593611</v>
      </c>
      <c r="I9" s="17">
        <f t="shared" si="2"/>
        <v>1808320.021914064</v>
      </c>
    </row>
    <row r="10" spans="1:9" ht="15.75" customHeight="1" x14ac:dyDescent="0.25">
      <c r="A10" s="5">
        <f t="shared" si="3"/>
        <v>2029</v>
      </c>
      <c r="B10" s="49">
        <v>392071.42499999999</v>
      </c>
      <c r="C10" s="50">
        <v>839000</v>
      </c>
      <c r="D10" s="50">
        <v>1435000</v>
      </c>
      <c r="E10" s="50">
        <v>15400</v>
      </c>
      <c r="F10" s="50">
        <v>14100</v>
      </c>
      <c r="G10" s="17">
        <f t="shared" si="0"/>
        <v>2303500</v>
      </c>
      <c r="H10" s="17">
        <f t="shared" si="1"/>
        <v>453211.34141255042</v>
      </c>
      <c r="I10" s="17">
        <f t="shared" si="2"/>
        <v>1850288.6585874497</v>
      </c>
    </row>
    <row r="11" spans="1:9" ht="15.75" customHeight="1" x14ac:dyDescent="0.25">
      <c r="A11" s="5">
        <f t="shared" si="3"/>
        <v>2030</v>
      </c>
      <c r="B11" s="49">
        <v>394558.95199999999</v>
      </c>
      <c r="C11" s="50">
        <v>846000</v>
      </c>
      <c r="D11" s="50">
        <v>1471000</v>
      </c>
      <c r="E11" s="50">
        <v>15400</v>
      </c>
      <c r="F11" s="50">
        <v>14200</v>
      </c>
      <c r="G11" s="17">
        <f t="shared" si="0"/>
        <v>2346600</v>
      </c>
      <c r="H11" s="17">
        <f t="shared" si="1"/>
        <v>456086.77526613954</v>
      </c>
      <c r="I11" s="17">
        <f t="shared" si="2"/>
        <v>1890513.2247338605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KCD0l+zmmBK+8T2OnPufbDRTHsdEKRkJcs5GoiFkZKXyz2d4aaSSmPXYj0DG2LPeMBO1FJ+RNghA6yvXgZZg1g==" saltValue="O7WnK9hT9PCx5hpbSt/Ly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9.5625110708286538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9.5625110708286538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5.0704566979728405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5.0704566979728405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6.6573733860832185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6.6573733860832185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3.6894088897320558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3.6894088897320558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12.773452722389399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12.773452722389399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6.5968779597126552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6.5968779597126552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D0H4wcHgHRvyMXcRGK7nDibmyTEYXGOKRs/VgiGKbyueUXVYEOLJ8zx2flSY911hmT3mUnOdGL89ET9Xy3+ZsQ==" saltValue="Ychu+/DVabXIdFygpGNNJ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lM6V3ZhXqRTWVy5sMRuX/6QU+2JHI65qxaN5glAVofI91Peh7X0J5NXnPQjH3GGYevWYpmjcDu9VaCJf1uiOZg==" saltValue="9gNls4mTfdq7seRwFXXA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5R5RdraHnCyhbQxMPEsIdHMxGhxyUVafq2Q2n71IOvGslO+iPtUAVSWlIL0j2FZVA3l3MAyqLfnNdxy+j83p5Q==" saltValue="gwXnH2sgzbu7iYtWfTe2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0.58773365984027759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0.58773365984027759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0.85466526726096692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0.85466526726096692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0.85466526726096692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0.85466526726096692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0.38652999180543596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0.38652999180543596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0.8196297748287068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0.8196297748287068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0.8196297748287068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0.8196297748287068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0.90217136670475062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0.90217136670475062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0.89020874244365911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0.89020874244365911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0.89020874244365911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0.89020874244365911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gAUjzbAocWhnhtHp1JTTzQKZ/fUmSLwJFliUKPdOdSCNA6ufz2oBPU+gy9BaQDdbAk3MUXjo4Hr5RvRnPHP3Tw==" saltValue="NryizlrcJpJCdJssTxsC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Udymwhw6dQzXlaWW7vaSsyj+pnn6pzW+cELbyQUwJiAFET9zkkU1yEhICbpvYqODhHvIqqGSzMW6QLDx5d0TOQ==" saltValue="eOmNtJzuVM4g0V9aTOBm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0.40161882620278644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0.5832445304416829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0.5832445304416829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0.66032608695652184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0.66032608695652184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0.66032608695652184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0.66032608695652184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0.66701550756350481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0.66701550756350481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0.66701550756350481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0.66701550756350481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0.5107753894471031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0.68523588930006063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0.68523588930006063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0.75149105367793245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0.75149105367793245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0.75149105367793245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0.75149105367793245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0.75704567541302248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0.75704567541302248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0.75704567541302248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0.75704567541302248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0.23454131641596584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0.3898335176875708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0.3898335176875708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0.47019257348198662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0.47019257348198662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0.47019257348198662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0.47019257348198662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0.47766447891354213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0.47766447891354213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0.47766447891354213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0.47766447891354213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0.37850742639683721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0.55945318602947747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0.55945318602947747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0.6382054992764109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0.6382054992764109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0.6382054992764109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0.6382054992764109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0.64509641547379626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0.64509641547379626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0.64509641547379626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0.64509641547379626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0.8940611905930933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0.94622867665910937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0.94622867665910937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0.9606980034585757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0.9606980034585757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0.9606980034585757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0.9606980034585757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0.96181408551099101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0.96181408551099101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0.96181408551099101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0.96181408551099101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0.7501028517412871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0.86223663846480902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0.86223663846480902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0.89684340829379006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0.89684340829379006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0.89684340829379006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0.89684340829379006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0.89958327057287735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0.89958327057287735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0.89958327057287735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0.89958327057287735</v>
      </c>
    </row>
  </sheetData>
  <sheetProtection algorithmName="SHA-512" hashValue="s9/Ts5NAVNbY+HfGQBWz9Kf2dUavgNwegBZ8wZhxQkVF2Kr1v0OMp4d2zH87FJKkJalA0d4xjb4+PrtANVSdMw==" saltValue="Pdo4Lo+RHghrz/Kr37Vb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0.85768880729654817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0.85780421547725483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0.85925000558646203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0.85957222262554767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0.85537207268645798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0.85638155983756159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0.85679519695976958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0.85913604009129985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0.77191992656689334</v>
      </c>
      <c r="E10" s="90">
        <f>E3*0.9</f>
        <v>0.77202379392952936</v>
      </c>
      <c r="F10" s="90">
        <f>F3*0.9</f>
        <v>0.77332500502781587</v>
      </c>
      <c r="G10" s="90">
        <f>G3*0.9</f>
        <v>0.77361500036299291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0.76983486541781221</v>
      </c>
      <c r="E12" s="90">
        <f>E5*0.9</f>
        <v>0.77074340385380546</v>
      </c>
      <c r="F12" s="90">
        <f>F5*0.9</f>
        <v>0.7711156772637926</v>
      </c>
      <c r="G12" s="90">
        <f>G5*0.9</f>
        <v>0.77322243608216989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0.90057324766137559</v>
      </c>
      <c r="E17" s="90">
        <f>E3*1.05</f>
        <v>0.90069442625111762</v>
      </c>
      <c r="F17" s="90">
        <f>F3*1.05</f>
        <v>0.90221250586578516</v>
      </c>
      <c r="G17" s="90">
        <f>G3*1.05</f>
        <v>0.9025508337568251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0.89814067632078087</v>
      </c>
      <c r="E19" s="90">
        <f>E5*1.05</f>
        <v>0.89920063782943971</v>
      </c>
      <c r="F19" s="90">
        <f>F5*1.05</f>
        <v>0.89963495680775807</v>
      </c>
      <c r="G19" s="90">
        <f>G5*1.05</f>
        <v>0.90209284209586482</v>
      </c>
    </row>
  </sheetData>
  <sheetProtection algorithmName="SHA-512" hashValue="69A+2qnnjBWsmeKpqaI16OEDZwWW6nT+NY0lzBXFnCfdlK/aIS2D2YTinfZ0npeSeZS92/+hkKosu2IsdE6cDA==" saltValue="X1jA/ElPU3PT6KqegM9Cz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qY3HcId0Rsib38avTlT+hO+t/6NS8yl8k9DCoEN/axIfOahoR56Q/TTFi7YHsyrtexqZze/XvSSuNEML2ggqdA==" saltValue="scTKDcvcs6jFr+rOThu+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RkI/KpHpqCbn7cRvT8HOs04VJLBAg450SoyRjxmMlaO24p/S85FJx8uhwzrO+ce1Ov5y6TTZI3KXwfxwFt5ckg==" saltValue="uORIs0jtbfZPYhzfHFYwX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2.059941221164225E-3</v>
      </c>
    </row>
    <row r="4" spans="1:8" ht="15.75" customHeight="1" x14ac:dyDescent="0.25">
      <c r="B4" s="19" t="s">
        <v>79</v>
      </c>
      <c r="C4" s="101">
        <v>0.15765511321815251</v>
      </c>
    </row>
    <row r="5" spans="1:8" ht="15.75" customHeight="1" x14ac:dyDescent="0.25">
      <c r="B5" s="19" t="s">
        <v>80</v>
      </c>
      <c r="C5" s="101">
        <v>5.9451516252141692E-2</v>
      </c>
    </row>
    <row r="6" spans="1:8" ht="15.75" customHeight="1" x14ac:dyDescent="0.25">
      <c r="B6" s="19" t="s">
        <v>81</v>
      </c>
      <c r="C6" s="101">
        <v>0.25542002993351581</v>
      </c>
    </row>
    <row r="7" spans="1:8" ht="15.75" customHeight="1" x14ac:dyDescent="0.25">
      <c r="B7" s="19" t="s">
        <v>82</v>
      </c>
      <c r="C7" s="101">
        <v>0.30161655102198848</v>
      </c>
    </row>
    <row r="8" spans="1:8" ht="15.75" customHeight="1" x14ac:dyDescent="0.25">
      <c r="B8" s="19" t="s">
        <v>83</v>
      </c>
      <c r="C8" s="101">
        <v>3.2170614485092278E-3</v>
      </c>
    </row>
    <row r="9" spans="1:8" ht="15.75" customHeight="1" x14ac:dyDescent="0.25">
      <c r="B9" s="19" t="s">
        <v>84</v>
      </c>
      <c r="C9" s="101">
        <v>0.1491244288740432</v>
      </c>
    </row>
    <row r="10" spans="1:8" ht="15.75" customHeight="1" x14ac:dyDescent="0.25">
      <c r="B10" s="19" t="s">
        <v>85</v>
      </c>
      <c r="C10" s="101">
        <v>7.1455358030484625E-2</v>
      </c>
    </row>
    <row r="11" spans="1:8" ht="15.75" customHeight="1" x14ac:dyDescent="0.25">
      <c r="B11" s="27" t="s">
        <v>41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0.11347599890973251</v>
      </c>
      <c r="D14" s="55">
        <v>0.11347599890973251</v>
      </c>
      <c r="E14" s="55">
        <v>0.11347599890973251</v>
      </c>
      <c r="F14" s="55">
        <v>0.11347599890973251</v>
      </c>
    </row>
    <row r="15" spans="1:8" ht="15.75" customHeight="1" x14ac:dyDescent="0.25">
      <c r="B15" s="19" t="s">
        <v>88</v>
      </c>
      <c r="C15" s="101">
        <v>0.18572936772378371</v>
      </c>
      <c r="D15" s="101">
        <v>0.18572936772378371</v>
      </c>
      <c r="E15" s="101">
        <v>0.18572936772378371</v>
      </c>
      <c r="F15" s="101">
        <v>0.18572936772378371</v>
      </c>
    </row>
    <row r="16" spans="1:8" ht="15.75" customHeight="1" x14ac:dyDescent="0.25">
      <c r="B16" s="19" t="s">
        <v>89</v>
      </c>
      <c r="C16" s="101">
        <v>1.8015635243855219E-2</v>
      </c>
      <c r="D16" s="101">
        <v>1.8015635243855219E-2</v>
      </c>
      <c r="E16" s="101">
        <v>1.8015635243855219E-2</v>
      </c>
      <c r="F16" s="101">
        <v>1.8015635243855219E-2</v>
      </c>
    </row>
    <row r="17" spans="1:8" ht="15.75" customHeight="1" x14ac:dyDescent="0.25">
      <c r="B17" s="19" t="s">
        <v>90</v>
      </c>
      <c r="C17" s="101">
        <v>2.7681195599316751E-3</v>
      </c>
      <c r="D17" s="101">
        <v>2.7681195599316751E-3</v>
      </c>
      <c r="E17" s="101">
        <v>2.7681195599316751E-3</v>
      </c>
      <c r="F17" s="101">
        <v>2.7681195599316751E-3</v>
      </c>
    </row>
    <row r="18" spans="1:8" ht="15.75" customHeight="1" x14ac:dyDescent="0.25">
      <c r="B18" s="19" t="s">
        <v>91</v>
      </c>
      <c r="C18" s="101">
        <v>7.602152632069159E-2</v>
      </c>
      <c r="D18" s="101">
        <v>7.602152632069159E-2</v>
      </c>
      <c r="E18" s="101">
        <v>7.602152632069159E-2</v>
      </c>
      <c r="F18" s="101">
        <v>7.602152632069159E-2</v>
      </c>
    </row>
    <row r="19" spans="1:8" ht="15.75" customHeight="1" x14ac:dyDescent="0.25">
      <c r="B19" s="19" t="s">
        <v>92</v>
      </c>
      <c r="C19" s="101">
        <v>2.7230151158615639E-2</v>
      </c>
      <c r="D19" s="101">
        <v>2.7230151158615639E-2</v>
      </c>
      <c r="E19" s="101">
        <v>2.7230151158615639E-2</v>
      </c>
      <c r="F19" s="101">
        <v>2.7230151158615639E-2</v>
      </c>
    </row>
    <row r="20" spans="1:8" ht="15.75" customHeight="1" x14ac:dyDescent="0.25">
      <c r="B20" s="19" t="s">
        <v>93</v>
      </c>
      <c r="C20" s="101">
        <v>5.1668383864636132E-2</v>
      </c>
      <c r="D20" s="101">
        <v>5.1668383864636132E-2</v>
      </c>
      <c r="E20" s="101">
        <v>5.1668383864636132E-2</v>
      </c>
      <c r="F20" s="101">
        <v>5.1668383864636132E-2</v>
      </c>
    </row>
    <row r="21" spans="1:8" ht="15.75" customHeight="1" x14ac:dyDescent="0.25">
      <c r="B21" s="19" t="s">
        <v>94</v>
      </c>
      <c r="C21" s="101">
        <v>0.13371501404832559</v>
      </c>
      <c r="D21" s="101">
        <v>0.13371501404832559</v>
      </c>
      <c r="E21" s="101">
        <v>0.13371501404832559</v>
      </c>
      <c r="F21" s="101">
        <v>0.13371501404832559</v>
      </c>
    </row>
    <row r="22" spans="1:8" ht="15.75" customHeight="1" x14ac:dyDescent="0.25">
      <c r="B22" s="19" t="s">
        <v>95</v>
      </c>
      <c r="C22" s="101">
        <v>0.39137580317042792</v>
      </c>
      <c r="D22" s="101">
        <v>0.39137580317042792</v>
      </c>
      <c r="E22" s="101">
        <v>0.39137580317042792</v>
      </c>
      <c r="F22" s="101">
        <v>0.39137580317042792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8.8012850000000004E-2</v>
      </c>
    </row>
    <row r="27" spans="1:8" ht="15.75" customHeight="1" x14ac:dyDescent="0.25">
      <c r="B27" s="19" t="s">
        <v>102</v>
      </c>
      <c r="C27" s="101">
        <v>8.9249900000000007E-3</v>
      </c>
    </row>
    <row r="28" spans="1:8" ht="15.75" customHeight="1" x14ac:dyDescent="0.25">
      <c r="B28" s="19" t="s">
        <v>103</v>
      </c>
      <c r="C28" s="101">
        <v>0.15479583299999999</v>
      </c>
    </row>
    <row r="29" spans="1:8" ht="15.75" customHeight="1" x14ac:dyDescent="0.25">
      <c r="B29" s="19" t="s">
        <v>104</v>
      </c>
      <c r="C29" s="101">
        <v>0.168002662</v>
      </c>
    </row>
    <row r="30" spans="1:8" ht="15.75" customHeight="1" x14ac:dyDescent="0.25">
      <c r="B30" s="19" t="s">
        <v>2</v>
      </c>
      <c r="C30" s="101">
        <v>0.104541704</v>
      </c>
    </row>
    <row r="31" spans="1:8" ht="15.75" customHeight="1" x14ac:dyDescent="0.25">
      <c r="B31" s="19" t="s">
        <v>105</v>
      </c>
      <c r="C31" s="101">
        <v>0.10832760499999999</v>
      </c>
    </row>
    <row r="32" spans="1:8" ht="15.75" customHeight="1" x14ac:dyDescent="0.25">
      <c r="B32" s="19" t="s">
        <v>106</v>
      </c>
      <c r="C32" s="101">
        <v>1.8696531999999998E-2</v>
      </c>
    </row>
    <row r="33" spans="2:3" ht="15.75" customHeight="1" x14ac:dyDescent="0.25">
      <c r="B33" s="19" t="s">
        <v>107</v>
      </c>
      <c r="C33" s="101">
        <v>8.4083039999999998E-2</v>
      </c>
    </row>
    <row r="34" spans="2:3" ht="15.75" customHeight="1" x14ac:dyDescent="0.25">
      <c r="B34" s="19" t="s">
        <v>108</v>
      </c>
      <c r="C34" s="101">
        <v>0.26461478300000002</v>
      </c>
    </row>
    <row r="35" spans="2:3" ht="15.75" customHeight="1" x14ac:dyDescent="0.25">
      <c r="B35" s="27" t="s">
        <v>41</v>
      </c>
      <c r="C35" s="48">
        <f>SUM(C26:C34)</f>
        <v>0.99999999899999992</v>
      </c>
    </row>
  </sheetData>
  <sheetProtection algorithmName="SHA-512" hashValue="M4UBKWkb5/f0LLWezKIodIDfF5TT9tOYv5GHnnB5dlnb4KX4iObJmgUiuyxAbr9tWvWPsVNxmC7QQQn+ZeqaBA==" saltValue="mfHpelg+tilObakSZ2AbK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0.55806517231778008</v>
      </c>
      <c r="D2" s="52">
        <f>IFERROR(1-_xlfn.NORM.DIST(_xlfn.NORM.INV(SUM(D4:D5), 0, 1) + 1, 0, 1, TRUE), "")</f>
        <v>0.55806517231778008</v>
      </c>
      <c r="E2" s="52">
        <f>IFERROR(1-_xlfn.NORM.DIST(_xlfn.NORM.INV(SUM(E4:E5), 0, 1) + 1, 0, 1, TRUE), "")</f>
        <v>0.43977509329894526</v>
      </c>
      <c r="F2" s="52">
        <f>IFERROR(1-_xlfn.NORM.DIST(_xlfn.NORM.INV(SUM(F4:F5), 0, 1) + 1, 0, 1, TRUE), "")</f>
        <v>0.1875704005488994</v>
      </c>
      <c r="G2" s="52">
        <f>IFERROR(1-_xlfn.NORM.DIST(_xlfn.NORM.INV(SUM(G4:G5), 0, 1) + 1, 0, 1, TRUE), "")</f>
        <v>0.20514649050288192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0.3160508088438142</v>
      </c>
      <c r="D3" s="52">
        <f>IFERROR(_xlfn.NORM.DIST(_xlfn.NORM.INV(SUM(D4:D5), 0, 1) + 1, 0, 1, TRUE) - SUM(D4:D5), "")</f>
        <v>0.3160508088438142</v>
      </c>
      <c r="E3" s="52">
        <f>IFERROR(_xlfn.NORM.DIST(_xlfn.NORM.INV(SUM(E4:E5), 0, 1) + 1, 0, 1, TRUE) - SUM(E4:E5), "")</f>
        <v>0.36213413735052602</v>
      </c>
      <c r="F3" s="52">
        <f>IFERROR(_xlfn.NORM.DIST(_xlfn.NORM.INV(SUM(F4:F5), 0, 1) + 1, 0, 1, TRUE) - SUM(F4:F5), "")</f>
        <v>0.35745989529994759</v>
      </c>
      <c r="G3" s="52">
        <f>IFERROR(_xlfn.NORM.DIST(_xlfn.NORM.INV(SUM(G4:G5), 0, 1) + 1, 0, 1, TRUE) - SUM(G4:G5), "")</f>
        <v>0.36495079202599512</v>
      </c>
    </row>
    <row r="4" spans="1:15" ht="15.75" customHeight="1" x14ac:dyDescent="0.25">
      <c r="B4" s="5" t="s">
        <v>114</v>
      </c>
      <c r="C4" s="45">
        <v>7.4738867580890697E-2</v>
      </c>
      <c r="D4" s="53">
        <v>7.4738867580890697E-2</v>
      </c>
      <c r="E4" s="53">
        <v>0.11903746426105501</v>
      </c>
      <c r="F4" s="53">
        <v>0.29508471488952598</v>
      </c>
      <c r="G4" s="53">
        <v>0.27474308013915999</v>
      </c>
    </row>
    <row r="5" spans="1:15" ht="15.75" customHeight="1" x14ac:dyDescent="0.25">
      <c r="B5" s="5" t="s">
        <v>115</v>
      </c>
      <c r="C5" s="45">
        <v>5.1145151257515002E-2</v>
      </c>
      <c r="D5" s="53">
        <v>5.1145151257515002E-2</v>
      </c>
      <c r="E5" s="53">
        <v>7.9053305089473697E-2</v>
      </c>
      <c r="F5" s="53">
        <v>0.159884989261627</v>
      </c>
      <c r="G5" s="53">
        <v>0.155159637331963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0.72188527944479541</v>
      </c>
      <c r="D8" s="52">
        <f>IFERROR(1-_xlfn.NORM.DIST(_xlfn.NORM.INV(SUM(D10:D11), 0, 1) + 1, 0, 1, TRUE), "")</f>
        <v>0.72188527944479541</v>
      </c>
      <c r="E8" s="52">
        <f>IFERROR(1-_xlfn.NORM.DIST(_xlfn.NORM.INV(SUM(E10:E11), 0, 1) + 1, 0, 1, TRUE), "")</f>
        <v>0.74924067119138027</v>
      </c>
      <c r="F8" s="52">
        <f>IFERROR(1-_xlfn.NORM.DIST(_xlfn.NORM.INV(SUM(F10:F11), 0, 1) + 1, 0, 1, TRUE), "")</f>
        <v>0.80210032687277444</v>
      </c>
      <c r="G8" s="52">
        <f>IFERROR(1-_xlfn.NORM.DIST(_xlfn.NORM.INV(SUM(G10:G11), 0, 1) + 1, 0, 1, TRUE), "")</f>
        <v>0.90350365437351532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0.22202255328204079</v>
      </c>
      <c r="D9" s="52">
        <f>IFERROR(_xlfn.NORM.DIST(_xlfn.NORM.INV(SUM(D10:D11), 0, 1) + 1, 0, 1, TRUE) - SUM(D10:D11), "")</f>
        <v>0.22202255328204079</v>
      </c>
      <c r="E9" s="52">
        <f>IFERROR(_xlfn.NORM.DIST(_xlfn.NORM.INV(SUM(E10:E11), 0, 1) + 1, 0, 1, TRUE) - SUM(E10:E11), "")</f>
        <v>0.20350724002344822</v>
      </c>
      <c r="F9" s="52">
        <f>IFERROR(_xlfn.NORM.DIST(_xlfn.NORM.INV(SUM(F10:F11), 0, 1) + 1, 0, 1, TRUE) - SUM(F10:F11), "")</f>
        <v>0.16568139846681701</v>
      </c>
      <c r="G9" s="52">
        <f>IFERROR(_xlfn.NORM.DIST(_xlfn.NORM.INV(SUM(G10:G11), 0, 1) + 1, 0, 1, TRUE) - SUM(G10:G11), "")</f>
        <v>8.582246481656669E-2</v>
      </c>
    </row>
    <row r="10" spans="1:15" ht="15.75" customHeight="1" x14ac:dyDescent="0.25">
      <c r="B10" s="5" t="s">
        <v>119</v>
      </c>
      <c r="C10" s="45">
        <v>3.7207964807748801E-2</v>
      </c>
      <c r="D10" s="53">
        <v>3.7207964807748801E-2</v>
      </c>
      <c r="E10" s="53">
        <v>2.92962975800037E-2</v>
      </c>
      <c r="F10" s="53">
        <v>2.6022277772426598E-2</v>
      </c>
      <c r="G10" s="53">
        <v>7.1317357942462002E-3</v>
      </c>
    </row>
    <row r="11" spans="1:15" ht="15.75" customHeight="1" x14ac:dyDescent="0.25">
      <c r="B11" s="5" t="s">
        <v>120</v>
      </c>
      <c r="C11" s="45">
        <v>1.8884202465415001E-2</v>
      </c>
      <c r="D11" s="53">
        <v>1.8884202465415001E-2</v>
      </c>
      <c r="E11" s="53">
        <v>1.7955791205167802E-2</v>
      </c>
      <c r="F11" s="53">
        <v>6.1959968879819003E-3</v>
      </c>
      <c r="G11" s="53">
        <v>3.5421450156717998E-3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0.7628772305</v>
      </c>
      <c r="D14" s="54">
        <v>0.73898727781200013</v>
      </c>
      <c r="E14" s="54">
        <v>0.73898727781200013</v>
      </c>
      <c r="F14" s="54">
        <v>0.45575443164700002</v>
      </c>
      <c r="G14" s="54">
        <v>0.45575443164700002</v>
      </c>
      <c r="H14" s="45">
        <v>0.24399999999999999</v>
      </c>
      <c r="I14" s="55">
        <v>0.24399999999999999</v>
      </c>
      <c r="J14" s="55">
        <v>0.24399999999999999</v>
      </c>
      <c r="K14" s="55">
        <v>0.24399999999999999</v>
      </c>
      <c r="L14" s="45">
        <v>0.221</v>
      </c>
      <c r="M14" s="55">
        <v>0.221</v>
      </c>
      <c r="N14" s="55">
        <v>0.221</v>
      </c>
      <c r="O14" s="55">
        <v>0.221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0.47298846017338303</v>
      </c>
      <c r="D15" s="52">
        <f t="shared" si="0"/>
        <v>0.45817654616710701</v>
      </c>
      <c r="E15" s="52">
        <f t="shared" si="0"/>
        <v>0.45817654616710701</v>
      </c>
      <c r="F15" s="52">
        <f t="shared" si="0"/>
        <v>0.2825704821477299</v>
      </c>
      <c r="G15" s="52">
        <f t="shared" si="0"/>
        <v>0.2825704821477299</v>
      </c>
      <c r="H15" s="52">
        <f t="shared" si="0"/>
        <v>0.151281464</v>
      </c>
      <c r="I15" s="52">
        <f t="shared" si="0"/>
        <v>0.151281464</v>
      </c>
      <c r="J15" s="52">
        <f t="shared" si="0"/>
        <v>0.151281464</v>
      </c>
      <c r="K15" s="52">
        <f t="shared" si="0"/>
        <v>0.151281464</v>
      </c>
      <c r="L15" s="52">
        <f t="shared" si="0"/>
        <v>0.13702132600000003</v>
      </c>
      <c r="M15" s="52">
        <f t="shared" si="0"/>
        <v>0.13702132600000003</v>
      </c>
      <c r="N15" s="52">
        <f t="shared" si="0"/>
        <v>0.13702132600000003</v>
      </c>
      <c r="O15" s="52">
        <f t="shared" si="0"/>
        <v>0.13702132600000003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0wvzmTUHf7F9Zr402Uhq73Hd5kp6RlrTs/zNWtXq9UscoP1BGp0I/8tUv19QTDot1eYOBupd2nIKpy5KEvOUqw==" saltValue="B1PH61SgngAgs5WV0pQk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0.93459862470626798</v>
      </c>
      <c r="D2" s="53">
        <v>0.8624233</v>
      </c>
      <c r="E2" s="53"/>
      <c r="F2" s="53"/>
      <c r="G2" s="53"/>
    </row>
    <row r="3" spans="1:7" x14ac:dyDescent="0.25">
      <c r="B3" s="3" t="s">
        <v>130</v>
      </c>
      <c r="C3" s="53">
        <v>5.5051434785127612E-2</v>
      </c>
      <c r="D3" s="53">
        <v>7.3928820000000006E-2</v>
      </c>
      <c r="E3" s="53"/>
      <c r="F3" s="53"/>
      <c r="G3" s="53"/>
    </row>
    <row r="4" spans="1:7" x14ac:dyDescent="0.25">
      <c r="B4" s="3" t="s">
        <v>131</v>
      </c>
      <c r="C4" s="53">
        <v>3.6863232962787199E-3</v>
      </c>
      <c r="D4" s="53">
        <v>5.9668279999999997E-2</v>
      </c>
      <c r="E4" s="53">
        <v>0.98627793788909901</v>
      </c>
      <c r="F4" s="53">
        <v>0.911906778812408</v>
      </c>
      <c r="G4" s="53"/>
    </row>
    <row r="5" spans="1:7" x14ac:dyDescent="0.25">
      <c r="B5" s="3" t="s">
        <v>132</v>
      </c>
      <c r="C5" s="52">
        <v>6.6636144183576098E-3</v>
      </c>
      <c r="D5" s="52">
        <v>3.9795800112187897E-3</v>
      </c>
      <c r="E5" s="52">
        <f>1-SUM(E2:E4)</f>
        <v>1.372206211090099E-2</v>
      </c>
      <c r="F5" s="52">
        <f>1-SUM(F2:F4)</f>
        <v>8.8093221187591997E-2</v>
      </c>
      <c r="G5" s="52">
        <f>1-SUM(G2:G4)</f>
        <v>1</v>
      </c>
    </row>
  </sheetData>
  <sheetProtection algorithmName="SHA-512" hashValue="fbQBtgzkNO/vQwfEmFdodXkoabBLFbche9vfuLogUq88S634n1NzJCu9fIG1/RzclhFXZ8X1e1EksWBpQb/tUQ==" saltValue="JFiw/SbYluLEUSDoi0UA6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OPkfn+wDtt+4Nsfk8gyQeIWPO3l0daLrLqZxj42IchhcoK/6bBOaek7Zy/5k+oz29JliWIb1KOdCjhm0B+5aA==" saltValue="Kbk3uJr3o/TF0Q/rcmXu0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J5Sk+GBVjcg0FGfSuNy1hUb/vh/7Wmcq1IRv+tn4PJwxAsA+Ri1V8jxuM/KAfx9OWAdkhA3TN7LdWeV27PkGvg==" saltValue="mBaVt2UKGhgwgXZ/dm7nI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dEoNIt/GHoUiFt2c216QoiJP2CY1nHzcslYcSINQGhzUR5Bx0Rp/yJcrzsBGn0tMd6RhkHtKwBUCWZMpR8W6SA==" saltValue="ur2gZij1vHI16eQc2GzXG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v+NMtqvWamDgT0cdPXHftna4puN1QG6ayvmDqZ4XcvyTE7U10H5IqGGNah0mPaWgikK83MVjX5L2yWgi4D6twQ==" saltValue="2xeRh4vLkbzIfQsnyfFh5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2024-03-15T03:14:38Z</dcterms:modified>
</cp:coreProperties>
</file>