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6A467071-F7E2-466A-A426-5E27989F656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F12" i="26"/>
  <c r="C12" i="26"/>
  <c r="G10" i="26"/>
  <c r="C10" i="26"/>
  <c r="G5" i="26"/>
  <c r="G19" i="26" s="1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I39" i="2" s="1"/>
  <c r="G39" i="2"/>
  <c r="H38" i="2"/>
  <c r="G38" i="2"/>
  <c r="A38" i="2"/>
  <c r="A37" i="2"/>
  <c r="A34" i="2"/>
  <c r="A33" i="2"/>
  <c r="A31" i="2"/>
  <c r="A29" i="2"/>
  <c r="A26" i="2"/>
  <c r="A25" i="2"/>
  <c r="A23" i="2"/>
  <c r="A22" i="2"/>
  <c r="A21" i="2"/>
  <c r="A18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I38" i="2" l="1"/>
  <c r="G12" i="26"/>
  <c r="E10" i="26"/>
  <c r="A17" i="2"/>
  <c r="A30" i="2"/>
  <c r="A39" i="2"/>
  <c r="D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<sst xmlns="http://schemas.openxmlformats.org/spreadsheetml/2006/main" count="2092" uniqueCount="337">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</sst>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45424.43212890625</v>
      </c>
    </row>
    <row r="8" spans="1:3" ht="15" customHeight="1" x14ac:dyDescent="0.25">
      <c r="B8" s="5" t="s">
        <v>19</v>
      </c>
      <c r="C8" s="44">
        <v>0.13200000000000001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0.51168388366699202</v>
      </c>
    </row>
    <row r="11" spans="1:3" ht="15" customHeight="1" x14ac:dyDescent="0.25">
      <c r="B11" s="5" t="s">
        <v>22</v>
      </c>
      <c r="C11" s="45">
        <v>0.51800000000000002</v>
      </c>
    </row>
    <row r="12" spans="1:3" ht="15" customHeight="1" x14ac:dyDescent="0.25">
      <c r="B12" s="5" t="s">
        <v>23</v>
      </c>
      <c r="C12" s="45">
        <v>0.72099999999999997</v>
      </c>
    </row>
    <row r="13" spans="1:3" ht="15" customHeight="1" x14ac:dyDescent="0.25">
      <c r="B13" s="5" t="s">
        <v>24</v>
      </c>
      <c r="C13" s="45">
        <v>0.49299999999999999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7.7300000000000008E-2</v>
      </c>
    </row>
    <row r="24" spans="1:3" ht="15" customHeight="1" x14ac:dyDescent="0.25">
      <c r="B24" s="15" t="s">
        <v>33</v>
      </c>
      <c r="C24" s="45">
        <v>0.50680000000000003</v>
      </c>
    </row>
    <row r="25" spans="1:3" ht="15" customHeight="1" x14ac:dyDescent="0.25">
      <c r="B25" s="15" t="s">
        <v>34</v>
      </c>
      <c r="C25" s="45">
        <v>0.33629999999999988</v>
      </c>
    </row>
    <row r="26" spans="1:3" ht="15" customHeight="1" x14ac:dyDescent="0.25">
      <c r="B26" s="15" t="s">
        <v>35</v>
      </c>
      <c r="C26" s="45">
        <v>7.9600000000000004E-2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0.22272866450000001</v>
      </c>
    </row>
    <row r="30" spans="1:3" ht="14.25" customHeight="1" x14ac:dyDescent="0.25">
      <c r="B30" s="25" t="s">
        <v>38</v>
      </c>
      <c r="C30" s="99">
        <v>0.11672141079999999</v>
      </c>
    </row>
    <row r="31" spans="1:3" ht="14.25" customHeight="1" x14ac:dyDescent="0.25">
      <c r="B31" s="25" t="s">
        <v>39</v>
      </c>
      <c r="C31" s="99">
        <v>0.1612750433</v>
      </c>
    </row>
    <row r="32" spans="1:3" ht="14.25" customHeight="1" x14ac:dyDescent="0.25">
      <c r="B32" s="25" t="s">
        <v>40</v>
      </c>
      <c r="C32" s="99">
        <v>0.49927488139999998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11.3938210782245</v>
      </c>
    </row>
    <row r="38" spans="1:5" ht="15" customHeight="1" x14ac:dyDescent="0.25">
      <c r="B38" s="11" t="s">
        <v>45</v>
      </c>
      <c r="C38" s="43">
        <v>21.853757065803499</v>
      </c>
      <c r="D38" s="12"/>
      <c r="E38" s="13"/>
    </row>
    <row r="39" spans="1:5" ht="15" customHeight="1" x14ac:dyDescent="0.25">
      <c r="B39" s="11" t="s">
        <v>46</v>
      </c>
      <c r="C39" s="43">
        <v>25.9164425172854</v>
      </c>
      <c r="D39" s="12"/>
      <c r="E39" s="12"/>
    </row>
    <row r="40" spans="1:5" ht="15" customHeight="1" x14ac:dyDescent="0.25">
      <c r="B40" s="11" t="s">
        <v>47</v>
      </c>
      <c r="C40" s="100">
        <v>0.72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11.096981420000001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6.1031000000000002E-3</v>
      </c>
      <c r="D45" s="12"/>
    </row>
    <row r="46" spans="1:5" ht="15.75" customHeight="1" x14ac:dyDescent="0.25">
      <c r="B46" s="11" t="s">
        <v>52</v>
      </c>
      <c r="C46" s="45">
        <v>7.2149199999999997E-2</v>
      </c>
      <c r="D46" s="12"/>
    </row>
    <row r="47" spans="1:5" ht="15.75" customHeight="1" x14ac:dyDescent="0.25">
      <c r="B47" s="11" t="s">
        <v>53</v>
      </c>
      <c r="C47" s="45">
        <v>8.8596099999999997E-2</v>
      </c>
      <c r="D47" s="12"/>
      <c r="E47" s="13"/>
    </row>
    <row r="48" spans="1:5" ht="15" customHeight="1" x14ac:dyDescent="0.25">
      <c r="B48" s="11" t="s">
        <v>54</v>
      </c>
      <c r="C48" s="46">
        <v>0.8331516000000001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0.63705900000000004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0.109101909999999</v>
      </c>
    </row>
    <row r="63" spans="1:4" ht="15.75" customHeight="1" x14ac:dyDescent="0.3">
      <c r="A63" s="4"/>
    </row>
  </sheetData>
  <sheetProtection algorithmName="SHA-512" hashValue="DT3yCufwmJRYib3jaBiu4wZ53XgRtJiQ4zvDOJ5BQHK1lDCk/2OKGie7kn04YgBmi6vp4oKZiXJzgkfVmOZEwg==" saltValue="NpfXh468yySy2vLxZYzi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49.842921550808533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39.696639812262433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286.05664748322943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1.309533745649694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12.828939256058341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12.828939256058341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12.828939256058341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12.828939256058341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12.828939256058341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12.828939256058341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0.53570505595368945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6.6332602175192878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6.6332602175192878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0.627</v>
      </c>
      <c r="C21" s="98">
        <v>0.95</v>
      </c>
      <c r="D21" s="56">
        <v>11.2499272526323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22.04257615659202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3.6439442599999999E-3</v>
      </c>
      <c r="C23" s="98">
        <v>0.95</v>
      </c>
      <c r="D23" s="56">
        <v>4.1648125448902009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18.385480298425989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0.47599999999999998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94.963596456498976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1.4494319011864589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0.4011613</v>
      </c>
      <c r="C32" s="98">
        <v>0.95</v>
      </c>
      <c r="D32" s="56">
        <v>1.1313943199069549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0.34067057596589989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0.01</v>
      </c>
      <c r="C38" s="98">
        <v>0.95</v>
      </c>
      <c r="D38" s="56">
        <v>4.7753309402954516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9LoxcCmDtG+jnp7IPvHjPzjHrvcs3J+gcgYYIHJ0wnpy692VrXJC0x0nislyewa+gi2E96LqBjNL2EUs0qccQ==" saltValue="wnArq9R1e3d20zFSDELP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xf/uvtuWxquw9Da72SFs6hOlQVmVAYeHPPxzcGIeQtdq9tIF14eJ0mKYuzGo3Wc0NiU/MMW6M690FIAZssJdyA==" saltValue="Q5B9LKf1OmzXuWwbL0xh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lf6abrr0KAWF8oESR1nyjmEl51z2Jr3vWWOpe3Ts55db3N08NWaRtwFIJHK/+2GAmxkUfJBKtvQMC9B/UTnSyg==" saltValue="k7Yl++o/4N5iNRaTAuoc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0.14490254297852503</v>
      </c>
      <c r="C3" s="21">
        <f>frac_mam_1_5months * 2.6</f>
        <v>0.14490254297852503</v>
      </c>
      <c r="D3" s="21">
        <f>frac_mam_6_11months * 2.6</f>
        <v>8.2862281054258427E-2</v>
      </c>
      <c r="E3" s="21">
        <f>frac_mam_12_23months * 2.6</f>
        <v>0.18355067074298864</v>
      </c>
      <c r="F3" s="21">
        <f>frac_mam_24_59months * 2.6</f>
        <v>6.8693479523062678E-2</v>
      </c>
    </row>
    <row r="4" spans="1:6" ht="15.75" customHeight="1" x14ac:dyDescent="0.25">
      <c r="A4" s="3" t="s">
        <v>208</v>
      </c>
      <c r="B4" s="21">
        <f>frac_sam_1month * 2.6</f>
        <v>9.7431174479425016E-3</v>
      </c>
      <c r="C4" s="21">
        <f>frac_sam_1_5months * 2.6</f>
        <v>9.7431174479425016E-3</v>
      </c>
      <c r="D4" s="21">
        <f>frac_sam_6_11months * 2.6</f>
        <v>7.6968019828200285E-2</v>
      </c>
      <c r="E4" s="21">
        <f>frac_sam_12_23months * 2.6</f>
        <v>6.0127930715680108E-2</v>
      </c>
      <c r="F4" s="21">
        <f>frac_sam_24_59months * 2.6</f>
        <v>4.5113451406359702E-2</v>
      </c>
    </row>
  </sheetData>
  <sheetProtection algorithmName="SHA-512" hashValue="lIDuX1DKf9wXCQy+H3h0MU06AcgQftupNz2CN9Yi9KDVHJ/lPEe57trgLEAIrzgUtENlbxjstda3zW+imeu59Q==" saltValue="01Rt5KsE9q2S9VlSrIj4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0.13200000000000001</v>
      </c>
      <c r="E2" s="60">
        <f>food_insecure</f>
        <v>0.13200000000000001</v>
      </c>
      <c r="F2" s="60">
        <f>food_insecure</f>
        <v>0.13200000000000001</v>
      </c>
      <c r="G2" s="60">
        <f>food_insecure</f>
        <v>0.13200000000000001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0.13200000000000001</v>
      </c>
      <c r="F5" s="60">
        <f>food_insecure</f>
        <v>0.13200000000000001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0.13200000000000001</v>
      </c>
      <c r="F8" s="60">
        <f>food_insecure</f>
        <v>0.13200000000000001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0.13200000000000001</v>
      </c>
      <c r="F9" s="60">
        <f>food_insecure</f>
        <v>0.13200000000000001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0.72099999999999997</v>
      </c>
      <c r="E10" s="60">
        <f>IF(ISBLANK(comm_deliv), frac_children_health_facility,1)</f>
        <v>0.72099999999999997</v>
      </c>
      <c r="F10" s="60">
        <f>IF(ISBLANK(comm_deliv), frac_children_health_facility,1)</f>
        <v>0.72099999999999997</v>
      </c>
      <c r="G10" s="60">
        <f>IF(ISBLANK(comm_deliv), frac_children_health_facility,1)</f>
        <v>0.72099999999999997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0.13200000000000001</v>
      </c>
      <c r="I15" s="60">
        <f>food_insecure</f>
        <v>0.13200000000000001</v>
      </c>
      <c r="J15" s="60">
        <f>food_insecure</f>
        <v>0.13200000000000001</v>
      </c>
      <c r="K15" s="60">
        <f>food_insecure</f>
        <v>0.13200000000000001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0.51800000000000002</v>
      </c>
      <c r="I18" s="60">
        <f>frac_PW_health_facility</f>
        <v>0.51800000000000002</v>
      </c>
      <c r="J18" s="60">
        <f>frac_PW_health_facility</f>
        <v>0.51800000000000002</v>
      </c>
      <c r="K18" s="60">
        <f>frac_PW_health_facility</f>
        <v>0.51800000000000002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0.49299999999999999</v>
      </c>
      <c r="M24" s="60">
        <f>famplan_unmet_need</f>
        <v>0.49299999999999999</v>
      </c>
      <c r="N24" s="60">
        <f>famplan_unmet_need</f>
        <v>0.49299999999999999</v>
      </c>
      <c r="O24" s="60">
        <f>famplan_unmet_need</f>
        <v>0.49299999999999999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0.25281101974792486</v>
      </c>
      <c r="M25" s="60">
        <f>(1-food_insecure)*(0.49)+food_insecure*(0.7)</f>
        <v>0.51771999999999996</v>
      </c>
      <c r="N25" s="60">
        <f>(1-food_insecure)*(0.49)+food_insecure*(0.7)</f>
        <v>0.51771999999999996</v>
      </c>
      <c r="O25" s="60">
        <f>(1-food_insecure)*(0.49)+food_insecure*(0.7)</f>
        <v>0.51771999999999996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0.10834757989196782</v>
      </c>
      <c r="M26" s="60">
        <f>(1-food_insecure)*(0.21)+food_insecure*(0.3)</f>
        <v>0.22187999999999999</v>
      </c>
      <c r="N26" s="60">
        <f>(1-food_insecure)*(0.21)+food_insecure*(0.3)</f>
        <v>0.22187999999999999</v>
      </c>
      <c r="O26" s="60">
        <f>(1-food_insecure)*(0.21)+food_insecure*(0.3)</f>
        <v>0.22187999999999999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0.12715751669311526</v>
      </c>
      <c r="M27" s="60">
        <f>(1-food_insecure)*(0.3)</f>
        <v>0.26039999999999996</v>
      </c>
      <c r="N27" s="60">
        <f>(1-food_insecure)*(0.3)</f>
        <v>0.26039999999999996</v>
      </c>
      <c r="O27" s="60">
        <f>(1-food_insecure)*(0.3)</f>
        <v>0.26039999999999996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0.51168388366699202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xHcJp1Mcm7Eo3+F6ZwF5mCIJ7qcYmhAehnrbPV7NOhA6DkKRZ2iBOzxwrgLR+u56MDdajcV3giLZd8YB17VGw==" saltValue="Y39GhkgY3gWAqHvJgYKLA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A6Byr4HN4i8yGphuAWg3MCGpL1uer/LdbfshiBe8l4zEEvPhTGv5Sm91YfGZLyNC7zeoGD2gFk//ywIm2sXOA==" saltValue="VDEvzqMWyQOAA/j6O5li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jYI1AHi3ztdr72vPwOrpAUzqoXdkcRTU/U0QWdhRpJgztZJw0SIrAqhW7Gw/kuwoKj2RIJhxJmz2S19Y9MDrw==" saltValue="8jtS4B24ur/W4/bMSdMb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LTtKr/LFraEyyt7CKJNWi29kfKfKnoU92xgxV+qsVGKZl2T/cx/Mr6cRoHXIBlRgga8iHKS5nhddn57cPLq+g==" saltValue="ZtJMeOsfRmOPUtgCpl9wZ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zd0HyGmiNbjSkwQy491Vi/rfAzPe+CoNZWRThRW1i8H4erObw3CQ6CDyzYEt8WoAl5nKOCm57gQw1DTB3ySwg==" saltValue="1z0Fj7s1gmYpp8jGhV3Xu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6TO0/W++DlS5V2A4X7pvopk3U/AwIWcholsyWlKLferP+pCKB0ZG6/5HpvU3XYj2iJz8eDnpC+AVUFsBepgHpg==" saltValue="O9UadnsqNebglDQHKDOW7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7269</v>
      </c>
      <c r="C2" s="49">
        <v>13000</v>
      </c>
      <c r="D2" s="49">
        <v>25000</v>
      </c>
      <c r="E2" s="49">
        <v>2544000</v>
      </c>
      <c r="F2" s="49">
        <v>2063000</v>
      </c>
      <c r="G2" s="17">
        <f t="shared" ref="G2:G11" si="0">C2+D2+E2+F2</f>
        <v>4645000</v>
      </c>
      <c r="H2" s="17">
        <f t="shared" ref="H2:H11" si="1">(B2 + stillbirth*B2/(1000-stillbirth))/(1-abortion)</f>
        <v>8352.9194648312623</v>
      </c>
      <c r="I2" s="17">
        <f t="shared" ref="I2:I11" si="2">G2-H2</f>
        <v>4636647.0805351688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7322.2740000000013</v>
      </c>
      <c r="C3" s="50">
        <v>14000</v>
      </c>
      <c r="D3" s="50">
        <v>25000</v>
      </c>
      <c r="E3" s="50">
        <v>2577000</v>
      </c>
      <c r="F3" s="50">
        <v>2106000</v>
      </c>
      <c r="G3" s="17">
        <f t="shared" si="0"/>
        <v>4722000</v>
      </c>
      <c r="H3" s="17">
        <f t="shared" si="1"/>
        <v>8414.1374358822213</v>
      </c>
      <c r="I3" s="17">
        <f t="shared" si="2"/>
        <v>4713585.8625641176</v>
      </c>
    </row>
    <row r="4" spans="1:9" ht="15.75" customHeight="1" x14ac:dyDescent="0.25">
      <c r="A4" s="5">
        <f t="shared" si="3"/>
        <v>2023</v>
      </c>
      <c r="B4" s="49">
        <v>7371.9360000000006</v>
      </c>
      <c r="C4" s="50">
        <v>15000</v>
      </c>
      <c r="D4" s="50">
        <v>25000</v>
      </c>
      <c r="E4" s="50">
        <v>2605000</v>
      </c>
      <c r="F4" s="50">
        <v>2151000</v>
      </c>
      <c r="G4" s="17">
        <f t="shared" si="0"/>
        <v>4796000</v>
      </c>
      <c r="H4" s="17">
        <f t="shared" si="1"/>
        <v>8471.2048022960953</v>
      </c>
      <c r="I4" s="17">
        <f t="shared" si="2"/>
        <v>4787528.7951977039</v>
      </c>
    </row>
    <row r="5" spans="1:9" ht="15.75" customHeight="1" x14ac:dyDescent="0.25">
      <c r="A5" s="5">
        <f t="shared" si="3"/>
        <v>2024</v>
      </c>
      <c r="B5" s="49">
        <v>7417.9860000000017</v>
      </c>
      <c r="C5" s="50">
        <v>15000</v>
      </c>
      <c r="D5" s="50">
        <v>26000</v>
      </c>
      <c r="E5" s="50">
        <v>2627000</v>
      </c>
      <c r="F5" s="50">
        <v>2198000</v>
      </c>
      <c r="G5" s="17">
        <f t="shared" si="0"/>
        <v>4866000</v>
      </c>
      <c r="H5" s="17">
        <f t="shared" si="1"/>
        <v>8524.121564072886</v>
      </c>
      <c r="I5" s="17">
        <f t="shared" si="2"/>
        <v>4857475.8784359274</v>
      </c>
    </row>
    <row r="6" spans="1:9" ht="15.75" customHeight="1" x14ac:dyDescent="0.25">
      <c r="A6" s="5">
        <f t="shared" si="3"/>
        <v>2025</v>
      </c>
      <c r="B6" s="49">
        <v>7460.424</v>
      </c>
      <c r="C6" s="50">
        <v>15000</v>
      </c>
      <c r="D6" s="50">
        <v>26000</v>
      </c>
      <c r="E6" s="50">
        <v>2643000</v>
      </c>
      <c r="F6" s="50">
        <v>2244000</v>
      </c>
      <c r="G6" s="17">
        <f t="shared" si="0"/>
        <v>4928000</v>
      </c>
      <c r="H6" s="17">
        <f t="shared" si="1"/>
        <v>8572.8877212125881</v>
      </c>
      <c r="I6" s="17">
        <f t="shared" si="2"/>
        <v>4919427.1122787874</v>
      </c>
    </row>
    <row r="7" spans="1:9" ht="15.75" customHeight="1" x14ac:dyDescent="0.25">
      <c r="A7" s="5">
        <f t="shared" si="3"/>
        <v>2026</v>
      </c>
      <c r="B7" s="49">
        <v>7517.4660000000003</v>
      </c>
      <c r="C7" s="50">
        <v>16000</v>
      </c>
      <c r="D7" s="50">
        <v>27000</v>
      </c>
      <c r="E7" s="50">
        <v>2656000</v>
      </c>
      <c r="F7" s="50">
        <v>2292000</v>
      </c>
      <c r="G7" s="17">
        <f t="shared" si="0"/>
        <v>4991000</v>
      </c>
      <c r="H7" s="17">
        <f t="shared" si="1"/>
        <v>8638.4355588949238</v>
      </c>
      <c r="I7" s="17">
        <f t="shared" si="2"/>
        <v>4982361.5644411054</v>
      </c>
    </row>
    <row r="8" spans="1:9" ht="15.75" customHeight="1" x14ac:dyDescent="0.25">
      <c r="A8" s="5">
        <f t="shared" si="3"/>
        <v>2027</v>
      </c>
      <c r="B8" s="49">
        <v>7571.5584000000008</v>
      </c>
      <c r="C8" s="50">
        <v>16000</v>
      </c>
      <c r="D8" s="50">
        <v>27000</v>
      </c>
      <c r="E8" s="50">
        <v>2664000</v>
      </c>
      <c r="F8" s="50">
        <v>2340000</v>
      </c>
      <c r="G8" s="17">
        <f t="shared" si="0"/>
        <v>5047000</v>
      </c>
      <c r="H8" s="17">
        <f t="shared" si="1"/>
        <v>8700.5939659467113</v>
      </c>
      <c r="I8" s="17">
        <f t="shared" si="2"/>
        <v>5038299.4060340533</v>
      </c>
    </row>
    <row r="9" spans="1:9" ht="15.75" customHeight="1" x14ac:dyDescent="0.25">
      <c r="A9" s="5">
        <f t="shared" si="3"/>
        <v>2028</v>
      </c>
      <c r="B9" s="49">
        <v>7622.7012000000013</v>
      </c>
      <c r="C9" s="50">
        <v>16000</v>
      </c>
      <c r="D9" s="50">
        <v>28000</v>
      </c>
      <c r="E9" s="50">
        <v>2667000</v>
      </c>
      <c r="F9" s="50">
        <v>2386000</v>
      </c>
      <c r="G9" s="17">
        <f t="shared" si="0"/>
        <v>5097000</v>
      </c>
      <c r="H9" s="17">
        <f t="shared" si="1"/>
        <v>8759.3629423679486</v>
      </c>
      <c r="I9" s="17">
        <f t="shared" si="2"/>
        <v>5088240.6370576322</v>
      </c>
    </row>
    <row r="10" spans="1:9" ht="15.75" customHeight="1" x14ac:dyDescent="0.25">
      <c r="A10" s="5">
        <f t="shared" si="3"/>
        <v>2029</v>
      </c>
      <c r="B10" s="49">
        <v>7670.894400000001</v>
      </c>
      <c r="C10" s="50">
        <v>16000</v>
      </c>
      <c r="D10" s="50">
        <v>28000</v>
      </c>
      <c r="E10" s="50">
        <v>2669000</v>
      </c>
      <c r="F10" s="50">
        <v>2430000</v>
      </c>
      <c r="G10" s="17">
        <f t="shared" si="0"/>
        <v>5143000</v>
      </c>
      <c r="H10" s="17">
        <f t="shared" si="1"/>
        <v>8814.7424881586376</v>
      </c>
      <c r="I10" s="17">
        <f t="shared" si="2"/>
        <v>5134185.2575118411</v>
      </c>
    </row>
    <row r="11" spans="1:9" ht="15.75" customHeight="1" x14ac:dyDescent="0.25">
      <c r="A11" s="5">
        <f t="shared" si="3"/>
        <v>2030</v>
      </c>
      <c r="B11" s="49">
        <v>7716.1379999999999</v>
      </c>
      <c r="C11" s="50">
        <v>16000</v>
      </c>
      <c r="D11" s="50">
        <v>29000</v>
      </c>
      <c r="E11" s="50">
        <v>2672000</v>
      </c>
      <c r="F11" s="50">
        <v>2468000</v>
      </c>
      <c r="G11" s="17">
        <f t="shared" si="0"/>
        <v>5185000</v>
      </c>
      <c r="H11" s="17">
        <f t="shared" si="1"/>
        <v>8866.7326033187728</v>
      </c>
      <c r="I11" s="17">
        <f t="shared" si="2"/>
        <v>5176133.267396681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+bAweLSEPnreLhv07bW+mB2hg/dHyJPA0Pui1Yc8yMLZSxJj+p8uAoL/99lRYaxB9EAAFWRzR3UbQIWM435EA==" saltValue="eBBtqKnZeQJZuyq4Tl7HF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2.2026057744332959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2.2026057744332959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1.9351433031966707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1.9351433031966707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1.7945788152505706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1.7945788152505706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1.617862539612086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1.617862539612086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2.6535829398457818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2.6535829398457818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2.2858220418954223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2.2858220418954223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Boy/QvrR35TGa+doF0bkH9YA1qhCQxLVvYI0j4G6IJeYL6J8Ra6GZ4MtW1tQsfb6PS59tbTbwljsQiZWXq7wPQ==" saltValue="uOtzMZtifhQ3KNrQezCBt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8On5AVeMihlSiARZ9pcGoXcQLZin7pC19ABljwDfLtsYSoWuamcYd7+citBpDVH2R844b/ghWj/FwO9MHxaxMA==" saltValue="YOe8EKQUwSiBZ+XEHvtu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7XP9yMrlQ7kLQmLRn5D9MzGOSSCipYOm4xnZ1w4fIttlY8WZ3KL5zOHE2kgHCv+Q/Yy3M+mNivVQm/c54+Bz+g==" saltValue="YK1q1dKr77KRVHunnSrg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0.62306900240271101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0.62306900240271101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0.87210064276969423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0.87210064276969423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0.87210064276969423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0.87210064276969423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0.42215550012555469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0.42215550012555469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0.84048377948764486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0.84048377948764486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0.84048377948764486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0.84048377948764486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0.91447786415626275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0.91447786415626275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0.90385973027762434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0.90385973027762434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0.90385973027762434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0.90385973027762434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fqYgc/R0e12YrXqJRsK4XkGVQ+m/ewO7QNcFTu6ga8vYcqBD5ie5ylfT8oxqU5zXhmxRqFmC9nIA+qFd2NR7A==" saltValue="XlPzHQFywOjXxfMjhnev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6cUIEcdGDnbhiZBc2jlmoBYey81oCS3F10grxZPMeGHqXY9W+0ywD0LI3b0c7KBnnTuEh0QDvk0IsYg6iyMaEQ==" saltValue="MJKIffwQA9jdH0D/gSZM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0.54789870368176352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0.60461322164349507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0.60461322164349507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0.64992998599719942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0.64992998599719942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0.64992998599719942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0.64992998599719942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0.66239027683997298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0.66239027683997298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0.66239027683997298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0.66239027683997298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0.65339972627578646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0.7040288248289337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0.7040288248289337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0.74279835390946514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0.74279835390946514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0.74279835390946514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0.74279835390946514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0.75320829220138208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0.75320829220138208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0.75320829220138208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0.75320829220138208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0.35619104508608779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0.41110615321315563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0.41110615321315563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0.45874711724008099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0.45874711724008099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0.45874711724008099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0.45874711724008099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0.47248916309258965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0.47248916309258965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0.47248916309258965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0.47248916309258965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0.52373724574976244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0.58116574691258505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0.58116574691258505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0.62751427861931952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0.62751427861931952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0.62751427861931952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0.62751427861931952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0.64033089557606993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0.64033089557606993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0.64033089557606993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0.64033089557606993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0.93841773319862676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0.95056329375470827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0.95056329375470827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0.95892324123011197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0.95892324123011197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0.95892324123011197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0.95892324123011197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0.96104452610665991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0.96104452610665991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0.96104452610665991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0.96104452610665991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0.84423331108643196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0.87242918947916637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0.87242918947916637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0.89250779318499418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0.89250779318499418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0.89250779318499418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0.89250779318499418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0.89769297662284531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0.89769297662284531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0.89769297662284531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0.89769297662284531</v>
      </c>
    </row>
  </sheetData>
  <sheetProtection algorithmName="SHA-512" hashValue="PAt5zfSxy9RiGbWO9WZ8pk1WoRhIZ4eM+gjhBnuWkP+pKlAzD+l2zhelZU8ozk1Hfc4eb9/eYNJbpNDtON5aig==" saltValue="+B+jmBvfwTfKtAkf97vU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0.8595473599814949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0.8563426781329937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0.85715911339911632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0.85787925410271904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0.85295209652631621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0.85605470518901672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0.85095078798393642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0.85674500448978252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0.77359262398334538</v>
      </c>
      <c r="E10" s="90">
        <f>E3*0.9</f>
        <v>0.77070841031969439</v>
      </c>
      <c r="F10" s="90">
        <f>F3*0.9</f>
        <v>0.77144320205920469</v>
      </c>
      <c r="G10" s="90">
        <f>G3*0.9</f>
        <v>0.77209132869244712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0.76765688687368461</v>
      </c>
      <c r="E12" s="90">
        <f>E5*0.9</f>
        <v>0.77044923467011506</v>
      </c>
      <c r="F12" s="90">
        <f>F5*0.9</f>
        <v>0.7658557091855428</v>
      </c>
      <c r="G12" s="90">
        <f>G5*0.9</f>
        <v>0.77107050404080424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0.90252472798056971</v>
      </c>
      <c r="E17" s="90">
        <f>E3*1.05</f>
        <v>0.89915981203964346</v>
      </c>
      <c r="F17" s="90">
        <f>F3*1.05</f>
        <v>0.9000170690690722</v>
      </c>
      <c r="G17" s="90">
        <f>G3*1.05</f>
        <v>0.90077321680785505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0.895599701352632</v>
      </c>
      <c r="E19" s="90">
        <f>E5*1.05</f>
        <v>0.8988574404484676</v>
      </c>
      <c r="F19" s="90">
        <f>F5*1.05</f>
        <v>0.89349832738313328</v>
      </c>
      <c r="G19" s="90">
        <f>G5*1.05</f>
        <v>0.89958225471427167</v>
      </c>
    </row>
  </sheetData>
  <sheetProtection algorithmName="SHA-512" hashValue="JiRPEvUecGRNN+2F3lHwM7FNC1WYlCBoRYcKPUDlIpldU24HtRbB4TzaALY0KsqkakmKGao/VHSr5V/X/7NIZA==" saltValue="KBSyH3CRcTFIS/bBNnttF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fvZlXP5H4e7hqSDdWaeqVofB8c9+go9q6DDxVQ811iI229i9z9J01NTb5Eg8tXge/TrAidIcicaB7Hw5lJu8MA==" saltValue="ZRDF5wcTb8CLxVOe5otN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kSyvmTLJPyPs+efrGYgLHNnMAXKHfo/8QFK71KN6gsNdfgotMePyTzeZOlMA7Du+ge3seHG77ms/NsL5jZEJQ==" saltValue="QquV6oikayg+DR7GMYMsN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6.8176178846409419E-2</v>
      </c>
    </row>
    <row r="5" spans="1:8" ht="15.75" customHeight="1" x14ac:dyDescent="0.25">
      <c r="B5" s="19" t="s">
        <v>80</v>
      </c>
      <c r="C5" s="101">
        <v>7.8023049376606327E-2</v>
      </c>
    </row>
    <row r="6" spans="1:8" ht="15.75" customHeight="1" x14ac:dyDescent="0.25">
      <c r="B6" s="19" t="s">
        <v>81</v>
      </c>
      <c r="C6" s="101">
        <v>0.16209881072807411</v>
      </c>
    </row>
    <row r="7" spans="1:8" ht="15.75" customHeight="1" x14ac:dyDescent="0.25">
      <c r="B7" s="19" t="s">
        <v>82</v>
      </c>
      <c r="C7" s="101">
        <v>0.40246720345127102</v>
      </c>
    </row>
    <row r="8" spans="1:8" ht="15.75" customHeight="1" x14ac:dyDescent="0.25">
      <c r="B8" s="19" t="s">
        <v>83</v>
      </c>
      <c r="C8" s="101">
        <v>2.1682126608692589E-2</v>
      </c>
    </row>
    <row r="9" spans="1:8" ht="15.75" customHeight="1" x14ac:dyDescent="0.25">
      <c r="B9" s="19" t="s">
        <v>84</v>
      </c>
      <c r="C9" s="101">
        <v>0.18970422886741339</v>
      </c>
    </row>
    <row r="10" spans="1:8" ht="15.75" customHeight="1" x14ac:dyDescent="0.25">
      <c r="B10" s="19" t="s">
        <v>85</v>
      </c>
      <c r="C10" s="101">
        <v>7.7848402121533211E-2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0.1913564707017297</v>
      </c>
      <c r="D14" s="55">
        <v>0.1913564707017297</v>
      </c>
      <c r="E14" s="55">
        <v>0.1913564707017297</v>
      </c>
      <c r="F14" s="55">
        <v>0.1913564707017297</v>
      </c>
    </row>
    <row r="15" spans="1:8" ht="15.75" customHeight="1" x14ac:dyDescent="0.25">
      <c r="B15" s="19" t="s">
        <v>88</v>
      </c>
      <c r="C15" s="101">
        <v>0.2466216523145178</v>
      </c>
      <c r="D15" s="101">
        <v>0.2466216523145178</v>
      </c>
      <c r="E15" s="101">
        <v>0.2466216523145178</v>
      </c>
      <c r="F15" s="101">
        <v>0.2466216523145178</v>
      </c>
    </row>
    <row r="16" spans="1:8" ht="15.75" customHeight="1" x14ac:dyDescent="0.25">
      <c r="B16" s="19" t="s">
        <v>89</v>
      </c>
      <c r="C16" s="101">
        <v>2.5288035931340189E-2</v>
      </c>
      <c r="D16" s="101">
        <v>2.5288035931340189E-2</v>
      </c>
      <c r="E16" s="101">
        <v>2.5288035931340189E-2</v>
      </c>
      <c r="F16" s="101">
        <v>2.5288035931340189E-2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0.14633568275692699</v>
      </c>
      <c r="D19" s="101">
        <v>0.14633568275692699</v>
      </c>
      <c r="E19" s="101">
        <v>0.14633568275692699</v>
      </c>
      <c r="F19" s="101">
        <v>0.14633568275692699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8.6905779036391351E-2</v>
      </c>
      <c r="D21" s="101">
        <v>8.6905779036391351E-2</v>
      </c>
      <c r="E21" s="101">
        <v>8.6905779036391351E-2</v>
      </c>
      <c r="F21" s="101">
        <v>8.6905779036391351E-2</v>
      </c>
    </row>
    <row r="22" spans="1:8" ht="15.75" customHeight="1" x14ac:dyDescent="0.25">
      <c r="B22" s="19" t="s">
        <v>95</v>
      </c>
      <c r="C22" s="101">
        <v>0.30349237925909389</v>
      </c>
      <c r="D22" s="101">
        <v>0.30349237925909389</v>
      </c>
      <c r="E22" s="101">
        <v>0.30349237925909389</v>
      </c>
      <c r="F22" s="101">
        <v>0.30349237925909389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4.7782605999999991E-2</v>
      </c>
    </row>
    <row r="27" spans="1:8" ht="15.75" customHeight="1" x14ac:dyDescent="0.25">
      <c r="B27" s="19" t="s">
        <v>102</v>
      </c>
      <c r="C27" s="101">
        <v>1.8912625999999998E-2</v>
      </c>
    </row>
    <row r="28" spans="1:8" ht="15.75" customHeight="1" x14ac:dyDescent="0.25">
      <c r="B28" s="19" t="s">
        <v>103</v>
      </c>
      <c r="C28" s="101">
        <v>0.22751453199999999</v>
      </c>
    </row>
    <row r="29" spans="1:8" ht="15.75" customHeight="1" x14ac:dyDescent="0.25">
      <c r="B29" s="19" t="s">
        <v>104</v>
      </c>
      <c r="C29" s="101">
        <v>0.13826291700000001</v>
      </c>
    </row>
    <row r="30" spans="1:8" ht="15.75" customHeight="1" x14ac:dyDescent="0.25">
      <c r="B30" s="19" t="s">
        <v>2</v>
      </c>
      <c r="C30" s="101">
        <v>4.9672004000000013E-2</v>
      </c>
    </row>
    <row r="31" spans="1:8" ht="15.75" customHeight="1" x14ac:dyDescent="0.25">
      <c r="B31" s="19" t="s">
        <v>105</v>
      </c>
      <c r="C31" s="101">
        <v>7.0532584999999995E-2</v>
      </c>
    </row>
    <row r="32" spans="1:8" ht="15.75" customHeight="1" x14ac:dyDescent="0.25">
      <c r="B32" s="19" t="s">
        <v>106</v>
      </c>
      <c r="C32" s="101">
        <v>0.15034908699999999</v>
      </c>
    </row>
    <row r="33" spans="2:3" ht="15.75" customHeight="1" x14ac:dyDescent="0.25">
      <c r="B33" s="19" t="s">
        <v>107</v>
      </c>
      <c r="C33" s="101">
        <v>0.12275455</v>
      </c>
    </row>
    <row r="34" spans="2:3" ht="15.75" customHeight="1" x14ac:dyDescent="0.25">
      <c r="B34" s="19" t="s">
        <v>108</v>
      </c>
      <c r="C34" s="101">
        <v>0.17421909099999999</v>
      </c>
    </row>
    <row r="35" spans="2:3" ht="15.75" customHeight="1" x14ac:dyDescent="0.25">
      <c r="B35" s="27" t="s">
        <v>41</v>
      </c>
      <c r="C35" s="48">
        <f>SUM(C26:C34)</f>
        <v>0.99999999799999995</v>
      </c>
    </row>
  </sheetData>
  <sheetProtection algorithmName="SHA-512" hashValue="f3mLzo9yt6Hdn/H3/79d7uP97ItvscZ6H1N4hbmCmojOAmR3CjSHVxlu2NJEg+r1C0FIr6k7H+i+2XSPfYt0dg==" saltValue="SIs2wH3BDxAu0aiJXSXgJ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0.69891148230489797</v>
      </c>
      <c r="D2" s="52">
        <f>IFERROR(1-_xlfn.NORM.DIST(_xlfn.NORM.INV(SUM(D4:D5), 0, 1) + 1, 0, 1, TRUE), "")</f>
        <v>0.69891148230489797</v>
      </c>
      <c r="E2" s="52">
        <f>IFERROR(1-_xlfn.NORM.DIST(_xlfn.NORM.INV(SUM(E4:E5), 0, 1) + 1, 0, 1, TRUE), "")</f>
        <v>0.68239938726824834</v>
      </c>
      <c r="F2" s="52">
        <f>IFERROR(1-_xlfn.NORM.DIST(_xlfn.NORM.INV(SUM(F4:F5), 0, 1) + 1, 0, 1, TRUE), "")</f>
        <v>0.32335536174915047</v>
      </c>
      <c r="G2" s="52">
        <f>IFERROR(1-_xlfn.NORM.DIST(_xlfn.NORM.INV(SUM(G4:G5), 0, 1) + 1, 0, 1, TRUE), "")</f>
        <v>0.31115185374005128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0.23699276910665923</v>
      </c>
      <c r="D3" s="52">
        <f>IFERROR(_xlfn.NORM.DIST(_xlfn.NORM.INV(SUM(D4:D5), 0, 1) + 1, 0, 1, TRUE) - SUM(D4:D5), "")</f>
        <v>0.23699276910665923</v>
      </c>
      <c r="E3" s="52">
        <f>IFERROR(_xlfn.NORM.DIST(_xlfn.NORM.INV(SUM(E4:E5), 0, 1) + 1, 0, 1, TRUE) - SUM(E4:E5), "")</f>
        <v>0.247416191937503</v>
      </c>
      <c r="F3" s="52">
        <f>IFERROR(_xlfn.NORM.DIST(_xlfn.NORM.INV(SUM(F4:F5), 0, 1) + 1, 0, 1, TRUE) - SUM(F4:F5), "")</f>
        <v>0.38261947787859213</v>
      </c>
      <c r="G3" s="52">
        <f>IFERROR(_xlfn.NORM.DIST(_xlfn.NORM.INV(SUM(G4:G5), 0, 1) + 1, 0, 1, TRUE) - SUM(G4:G5), "")</f>
        <v>0.38291525191085052</v>
      </c>
    </row>
    <row r="4" spans="1:15" ht="15.75" customHeight="1" x14ac:dyDescent="0.25">
      <c r="B4" s="5" t="s">
        <v>114</v>
      </c>
      <c r="C4" s="45">
        <v>4.2213115841150298E-2</v>
      </c>
      <c r="D4" s="53">
        <v>4.2213115841150298E-2</v>
      </c>
      <c r="E4" s="53">
        <v>3.7033997476100901E-2</v>
      </c>
      <c r="F4" s="53">
        <v>0.20522008836269401</v>
      </c>
      <c r="G4" s="53">
        <v>0.214478999376297</v>
      </c>
    </row>
    <row r="5" spans="1:15" ht="15.75" customHeight="1" x14ac:dyDescent="0.25">
      <c r="B5" s="5" t="s">
        <v>115</v>
      </c>
      <c r="C5" s="45">
        <v>2.1882632747292501E-2</v>
      </c>
      <c r="D5" s="53">
        <v>2.1882632747292501E-2</v>
      </c>
      <c r="E5" s="53">
        <v>3.3150423318147701E-2</v>
      </c>
      <c r="F5" s="53">
        <v>8.8805072009563391E-2</v>
      </c>
      <c r="G5" s="53">
        <v>9.1453894972801208E-2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0.71197418985775285</v>
      </c>
      <c r="D8" s="52">
        <f>IFERROR(1-_xlfn.NORM.DIST(_xlfn.NORM.INV(SUM(D10:D11), 0, 1) + 1, 0, 1, TRUE), "")</f>
        <v>0.71197418985775285</v>
      </c>
      <c r="E8" s="52">
        <f>IFERROR(1-_xlfn.NORM.DIST(_xlfn.NORM.INV(SUM(E10:E11), 0, 1) + 1, 0, 1, TRUE), "")</f>
        <v>0.70627110447853203</v>
      </c>
      <c r="F8" s="52">
        <f>IFERROR(1-_xlfn.NORM.DIST(_xlfn.NORM.INV(SUM(F10:F11), 0, 1) + 1, 0, 1, TRUE), "")</f>
        <v>0.62482389593745213</v>
      </c>
      <c r="G8" s="52">
        <f>IFERROR(1-_xlfn.NORM.DIST(_xlfn.NORM.INV(SUM(G10:G11), 0, 1) + 1, 0, 1, TRUE), "")</f>
        <v>0.7606822814345543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0.22854670997822119</v>
      </c>
      <c r="D9" s="52">
        <f>IFERROR(_xlfn.NORM.DIST(_xlfn.NORM.INV(SUM(D10:D11), 0, 1) + 1, 0, 1, TRUE) - SUM(D10:D11), "")</f>
        <v>0.22854670997822119</v>
      </c>
      <c r="E9" s="52">
        <f>IFERROR(_xlfn.NORM.DIST(_xlfn.NORM.INV(SUM(E10:E11), 0, 1) + 1, 0, 1, TRUE) - SUM(E10:E11), "")</f>
        <v>0.23225570287436847</v>
      </c>
      <c r="F9" s="52">
        <f>IFERROR(_xlfn.NORM.DIST(_xlfn.NORM.INV(SUM(F10:F11), 0, 1) + 1, 0, 1, TRUE) - SUM(F10:F11), "")</f>
        <v>0.28145356503998298</v>
      </c>
      <c r="G9" s="52">
        <f>IFERROR(_xlfn.NORM.DIST(_xlfn.NORM.INV(SUM(G10:G11), 0, 1) + 1, 0, 1, TRUE) - SUM(G10:G11), "")</f>
        <v>0.19554582205412943</v>
      </c>
    </row>
    <row r="10" spans="1:15" ht="15.75" customHeight="1" x14ac:dyDescent="0.25">
      <c r="B10" s="5" t="s">
        <v>119</v>
      </c>
      <c r="C10" s="45">
        <v>5.5731747299432699E-2</v>
      </c>
      <c r="D10" s="53">
        <v>5.5731747299432699E-2</v>
      </c>
      <c r="E10" s="53">
        <v>3.18701080977917E-2</v>
      </c>
      <c r="F10" s="53">
        <v>7.0596411824226393E-2</v>
      </c>
      <c r="G10" s="53">
        <v>2.64205690473318E-2</v>
      </c>
    </row>
    <row r="11" spans="1:15" ht="15.75" customHeight="1" x14ac:dyDescent="0.25">
      <c r="B11" s="5" t="s">
        <v>120</v>
      </c>
      <c r="C11" s="45">
        <v>3.74735286459327E-3</v>
      </c>
      <c r="D11" s="53">
        <v>3.74735286459327E-3</v>
      </c>
      <c r="E11" s="53">
        <v>2.9603084549307799E-2</v>
      </c>
      <c r="F11" s="53">
        <v>2.3126127198338502E-2</v>
      </c>
      <c r="G11" s="53">
        <v>1.73513274639845E-2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0.53215260274999998</v>
      </c>
      <c r="D14" s="54">
        <v>0.528708013373</v>
      </c>
      <c r="E14" s="54">
        <v>0.528708013373</v>
      </c>
      <c r="F14" s="54">
        <v>0.40532314977799999</v>
      </c>
      <c r="G14" s="54">
        <v>0.40532314977799999</v>
      </c>
      <c r="H14" s="45">
        <v>0.27800000000000002</v>
      </c>
      <c r="I14" s="55">
        <v>0.27800000000000002</v>
      </c>
      <c r="J14" s="55">
        <v>0.27800000000000002</v>
      </c>
      <c r="K14" s="55">
        <v>0.27800000000000002</v>
      </c>
      <c r="L14" s="45">
        <v>0.23699999999999999</v>
      </c>
      <c r="M14" s="55">
        <v>0.23699999999999999</v>
      </c>
      <c r="N14" s="55">
        <v>0.23699999999999999</v>
      </c>
      <c r="O14" s="55">
        <v>0.23699999999999999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0.33901260495531227</v>
      </c>
      <c r="D15" s="52">
        <f t="shared" si="0"/>
        <v>0.33681819829139004</v>
      </c>
      <c r="E15" s="52">
        <f t="shared" si="0"/>
        <v>0.33681819829139004</v>
      </c>
      <c r="F15" s="52">
        <f t="shared" si="0"/>
        <v>0.25821476047442293</v>
      </c>
      <c r="G15" s="52">
        <f t="shared" si="0"/>
        <v>0.25821476047442293</v>
      </c>
      <c r="H15" s="52">
        <f t="shared" si="0"/>
        <v>0.17710240200000002</v>
      </c>
      <c r="I15" s="52">
        <f t="shared" si="0"/>
        <v>0.17710240200000002</v>
      </c>
      <c r="J15" s="52">
        <f t="shared" si="0"/>
        <v>0.17710240200000002</v>
      </c>
      <c r="K15" s="52">
        <f t="shared" si="0"/>
        <v>0.17710240200000002</v>
      </c>
      <c r="L15" s="52">
        <f t="shared" si="0"/>
        <v>0.15098298300000002</v>
      </c>
      <c r="M15" s="52">
        <f t="shared" si="0"/>
        <v>0.15098298300000002</v>
      </c>
      <c r="N15" s="52">
        <f t="shared" si="0"/>
        <v>0.15098298300000002</v>
      </c>
      <c r="O15" s="52">
        <f t="shared" si="0"/>
        <v>0.15098298300000002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g0x/iUhWyhD00a46D0FatA6UO8T7r8NgMujsuSNiFX2Gwww+ke/gTRkDO98bil7hTuXCaH1byVZBljsWfSCCSg==" saltValue="fmtdf0n7A7rKADeOn02b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0.53434449434280407</v>
      </c>
      <c r="D2" s="53">
        <v>0.4011613</v>
      </c>
      <c r="E2" s="53"/>
      <c r="F2" s="53"/>
      <c r="G2" s="53"/>
    </row>
    <row r="3" spans="1:7" x14ac:dyDescent="0.25">
      <c r="B3" s="3" t="s">
        <v>130</v>
      </c>
      <c r="C3" s="53">
        <v>3.7408817559480688E-2</v>
      </c>
      <c r="D3" s="53">
        <v>0.11699619999999999</v>
      </c>
      <c r="E3" s="53"/>
      <c r="F3" s="53"/>
      <c r="G3" s="53"/>
    </row>
    <row r="4" spans="1:7" x14ac:dyDescent="0.25">
      <c r="B4" s="3" t="s">
        <v>131</v>
      </c>
      <c r="C4" s="53">
        <v>0.31870076060295099</v>
      </c>
      <c r="D4" s="53">
        <v>0.42420869999999999</v>
      </c>
      <c r="E4" s="53">
        <v>0.890300452709198</v>
      </c>
      <c r="F4" s="53">
        <v>0.57105016708374001</v>
      </c>
      <c r="G4" s="53"/>
    </row>
    <row r="5" spans="1:7" x14ac:dyDescent="0.25">
      <c r="B5" s="3" t="s">
        <v>132</v>
      </c>
      <c r="C5" s="52">
        <v>0.109545923769474</v>
      </c>
      <c r="D5" s="52">
        <v>5.7633787393569898E-2</v>
      </c>
      <c r="E5" s="52">
        <f>1-SUM(E2:E4)</f>
        <v>0.109699547290802</v>
      </c>
      <c r="F5" s="52">
        <f>1-SUM(F2:F4)</f>
        <v>0.42894983291625999</v>
      </c>
      <c r="G5" s="52">
        <f>1-SUM(G2:G4)</f>
        <v>1</v>
      </c>
    </row>
  </sheetData>
  <sheetProtection algorithmName="SHA-512" hashValue="FUs1azDn+o5NM9OC2qPGMZDRPrUJCaiqLpD5lnq9y3SUPdYKWlU6xh82+2Iy8q4KHzPJJ6yJpo1PiQd902FMew==" saltValue="WTlFR8WN1i4Eqqqb6AZCN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Bf0DiUj2HHRCNAYX5MD8oYrKEx4X/O14QnQNm50uN9edtc7ugVthwsujaDo0WFuHjgWIyCMcno/4t+u1KJ0MQ==" saltValue="Eqdhk7ZVvmn4g7xR4kbP0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P+Ss/qjO/5HoaDW6zMOLrKd/ypYxlpfoHtrB2Crp3LbIctF5m4ceMVRTVydLFoIMyjYUL6dOMISAQAbdVxEUbQ==" saltValue="FpMTtpk6ATkhbpkGLZCZT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ZrwHU5irK8++s3YSPUy5WcjbQrkFPiRU7CmfyUBsWnzgtfx2pd2YRYAoxp73ZwzqGoFLWESn5sZ7v3xv2FHkwQ==" saltValue="hBctFNjinmUIvN2p2H7+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gZoO08Q9Q3fYOdeD14PuhawcOxE16uGls50Z+9IvQYJO95VEXxOeV2jy9bl5OPZ00YQvpZLL69rnw4dA/rYepQ==" saltValue="T7qj/j7hL/3jq2I33HB06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2024-03-15T03:23:37Z</dcterms:modified>
</cp:coreProperties>
</file>