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CF4E3C2D-5670-486E-8E9A-7196CB2877A9}" xr6:coauthVersionLast="45" xr6:coauthVersionMax="45" xr10:uidLastSave="{00000000-0000-0000-0000-000000000000}"/>
  <bookViews>
    <workbookView xWindow="-17196" yWindow="-13068" windowWidth="23256" windowHeight="12576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<sst xmlns="http://schemas.openxmlformats.org/spreadsheetml/2006/main" count="1113" uniqueCount="272">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</sst>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343374</v>
      </c>
    </row>
    <row r="8" spans="1:3" ht="15" customHeight="1">
      <c r="B8" s="7" t="s">
        <v>106</v>
      </c>
      <c r="C8" s="66">
        <v>0.01</v>
      </c>
    </row>
    <row r="9" spans="1:3" ht="15" customHeight="1">
      <c r="B9" s="9" t="s">
        <v>107</v>
      </c>
      <c r="C9" s="67">
        <v>5.0000000000000001E-3</v>
      </c>
    </row>
    <row r="10" spans="1:3" ht="15" customHeight="1">
      <c r="B10" s="9" t="s">
        <v>105</v>
      </c>
      <c r="C10" s="67">
        <v>0.84452529907226603</v>
      </c>
    </row>
    <row r="11" spans="1:3" ht="15" customHeight="1">
      <c r="B11" s="7" t="s">
        <v>108</v>
      </c>
      <c r="C11" s="66">
        <v>0.97599999999999998</v>
      </c>
    </row>
    <row r="12" spans="1:3" ht="15" customHeight="1">
      <c r="B12" s="7" t="s">
        <v>109</v>
      </c>
      <c r="C12" s="66">
        <v>0.77200000000000002</v>
      </c>
    </row>
    <row r="13" spans="1:3" ht="15" customHeight="1">
      <c r="B13" s="7" t="s">
        <v>110</v>
      </c>
      <c r="C13" s="66">
        <v>0.109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0.1542</v>
      </c>
    </row>
    <row r="24" spans="1:3" ht="15" customHeight="1">
      <c r="B24" s="20" t="s">
        <v>102</v>
      </c>
      <c r="C24" s="67">
        <v>0.504</v>
      </c>
    </row>
    <row r="25" spans="1:3" ht="15" customHeight="1">
      <c r="B25" s="20" t="s">
        <v>103</v>
      </c>
      <c r="C25" s="67">
        <v>0.31219999999999998</v>
      </c>
    </row>
    <row r="26" spans="1:3" ht="15" customHeight="1">
      <c r="B26" s="20" t="s">
        <v>104</v>
      </c>
      <c r="C26" s="67">
        <v>2.9600000000000001E-2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0.35700000000000004</v>
      </c>
    </row>
    <row r="30" spans="1:3" ht="14.25" customHeight="1">
      <c r="B30" s="30" t="s">
        <v>76</v>
      </c>
      <c r="C30" s="69">
        <v>6.6000000000000003E-2</v>
      </c>
    </row>
    <row r="31" spans="1:3" ht="14.25" customHeight="1">
      <c r="B31" s="30" t="s">
        <v>77</v>
      </c>
      <c r="C31" s="69">
        <v>9.3000000000000013E-2</v>
      </c>
    </row>
    <row r="32" spans="1:3" ht="14.25" customHeight="1">
      <c r="B32" s="30" t="s">
        <v>78</v>
      </c>
      <c r="C32" s="69">
        <v>0.48399999998509885</v>
      </c>
    </row>
    <row r="33" spans="1:5" ht="13.2">
      <c r="B33" s="32" t="s">
        <v>129</v>
      </c>
      <c r="C33" s="91">
        <f>SUM(C29:C32)</f>
        <v>0.99999999998509881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5.9</v>
      </c>
    </row>
    <row r="38" spans="1:5" ht="15" customHeight="1">
      <c r="B38" s="16" t="s">
        <v>91</v>
      </c>
      <c r="C38" s="68">
        <v>7.8</v>
      </c>
      <c r="D38" s="17"/>
      <c r="E38" s="18"/>
    </row>
    <row r="39" spans="1:5" ht="15" customHeight="1">
      <c r="B39" s="16" t="s">
        <v>90</v>
      </c>
      <c r="C39" s="68">
        <v>9</v>
      </c>
      <c r="D39" s="17"/>
      <c r="E39" s="17"/>
    </row>
    <row r="40" spans="1:5" ht="15" customHeight="1">
      <c r="B40" s="16" t="s">
        <v>171</v>
      </c>
      <c r="C40" s="68">
        <v>0.25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6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2.8500000000000001E-2</v>
      </c>
      <c r="D45" s="17"/>
    </row>
    <row r="46" spans="1:5" ht="15.75" customHeight="1">
      <c r="B46" s="16" t="s">
        <v>11</v>
      </c>
      <c r="C46" s="67">
        <v>0.10800000000000001</v>
      </c>
      <c r="D46" s="17"/>
    </row>
    <row r="47" spans="1:5" ht="15.75" customHeight="1">
      <c r="B47" s="16" t="s">
        <v>12</v>
      </c>
      <c r="C47" s="67">
        <v>8.4600000000000009E-2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0.77890000000000004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3.6579285374499997</v>
      </c>
      <c r="D51" s="17"/>
    </row>
    <row r="52" spans="1:4" ht="15" customHeight="1">
      <c r="B52" s="16" t="s">
        <v>125</v>
      </c>
      <c r="C52" s="65">
        <v>3.33872186364</v>
      </c>
    </row>
    <row r="53" spans="1:4" ht="15.75" customHeight="1">
      <c r="B53" s="16" t="s">
        <v>126</v>
      </c>
      <c r="C53" s="65">
        <v>3.33872186364</v>
      </c>
    </row>
    <row r="54" spans="1:4" ht="15.75" customHeight="1">
      <c r="B54" s="16" t="s">
        <v>127</v>
      </c>
      <c r="C54" s="65">
        <v>2.0256496390700001</v>
      </c>
    </row>
    <row r="55" spans="1:4" ht="15.75" customHeight="1">
      <c r="B55" s="16" t="s">
        <v>128</v>
      </c>
      <c r="C55" s="65">
        <v>2.0256496390700001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1.9347037484885126E-2</v>
      </c>
    </row>
    <row r="59" spans="1:4" ht="15.75" customHeight="1">
      <c r="B59" s="16" t="s">
        <v>132</v>
      </c>
      <c r="C59" s="66">
        <v>0.54538974441461352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68284</v>
      </c>
      <c r="C2" s="75">
        <v>177000</v>
      </c>
      <c r="D2" s="75">
        <v>398000</v>
      </c>
      <c r="E2" s="75">
        <v>399000</v>
      </c>
      <c r="F2" s="75">
        <v>326000</v>
      </c>
      <c r="G2" s="22">
        <f t="shared" ref="G2:G40" si="0">C2+D2+E2+F2</f>
        <v>1300000</v>
      </c>
      <c r="H2" s="22">
        <f t="shared" ref="H2:H40" si="1">(B2 + stillbirth*B2/(1000-stillbirth))/(1-abortion)</f>
        <v>78961.123060200291</v>
      </c>
      <c r="I2" s="22">
        <f>G2-H2</f>
        <v>1221038.8769397996</v>
      </c>
    </row>
    <row r="3" spans="1:9" ht="15.75" customHeight="1">
      <c r="A3" s="92">
        <f t="shared" ref="A3:A40" si="2">IF($A$2+ROW(A3)-2&lt;=end_year,A2+1,"")</f>
        <v>2021</v>
      </c>
      <c r="B3" s="74">
        <v>68002</v>
      </c>
      <c r="C3" s="75">
        <v>176000</v>
      </c>
      <c r="D3" s="75">
        <v>394000</v>
      </c>
      <c r="E3" s="75">
        <v>402000</v>
      </c>
      <c r="F3" s="75">
        <v>332000</v>
      </c>
      <c r="G3" s="22">
        <f t="shared" si="0"/>
        <v>1304000</v>
      </c>
      <c r="H3" s="22">
        <f t="shared" si="1"/>
        <v>78635.028562177657</v>
      </c>
      <c r="I3" s="22">
        <f t="shared" ref="I3:I15" si="3">G3-H3</f>
        <v>1225364.9714378223</v>
      </c>
    </row>
    <row r="4" spans="1:9" ht="15.75" customHeight="1">
      <c r="A4" s="92">
        <f t="shared" si="2"/>
        <v>2022</v>
      </c>
      <c r="B4" s="74" t="e">
        <v>#N/A</v>
      </c>
      <c r="C4" s="75">
        <v>176000</v>
      </c>
      <c r="D4" s="75">
        <v>389000</v>
      </c>
      <c r="E4" s="75">
        <v>405000</v>
      </c>
      <c r="F4" s="75">
        <v>340000</v>
      </c>
      <c r="G4" s="22">
        <f t="shared" si="0"/>
        <v>1310000</v>
      </c>
      <c r="H4" s="22" t="e">
        <f t="shared" si="1"/>
        <v>#N/A</v>
      </c>
      <c r="I4" s="22" t="e">
        <f t="shared" si="3"/>
        <v>#N/A</v>
      </c>
    </row>
    <row r="5" spans="1:9" ht="15.75" customHeight="1">
      <c r="A5" s="92" t="str">
        <f t="shared" si="2"/>
        <v/>
      </c>
      <c r="B5" s="74">
        <v>65717.938000000009</v>
      </c>
      <c r="C5" s="75">
        <v>177000</v>
      </c>
      <c r="D5" s="75">
        <v>384000</v>
      </c>
      <c r="E5" s="75">
        <v>407000</v>
      </c>
      <c r="F5" s="75">
        <v>349000</v>
      </c>
      <c r="G5" s="22">
        <f t="shared" si="0"/>
        <v>1317000</v>
      </c>
      <c r="H5" s="22">
        <f t="shared" si="1"/>
        <v>75993.822706353065</v>
      </c>
      <c r="I5" s="22">
        <f t="shared" si="3"/>
        <v>1241006.1772936468</v>
      </c>
    </row>
    <row r="6" spans="1:9" ht="15.75" customHeight="1">
      <c r="A6" s="92" t="str">
        <f t="shared" si="2"/>
        <v/>
      </c>
      <c r="B6" s="74">
        <v>65092.705800000011</v>
      </c>
      <c r="C6" s="75">
        <v>177000</v>
      </c>
      <c r="D6" s="75">
        <v>378000</v>
      </c>
      <c r="E6" s="75">
        <v>409000</v>
      </c>
      <c r="F6" s="75">
        <v>357000</v>
      </c>
      <c r="G6" s="22">
        <f t="shared" si="0"/>
        <v>1321000</v>
      </c>
      <c r="H6" s="22">
        <f t="shared" si="1"/>
        <v>75270.827031152439</v>
      </c>
      <c r="I6" s="22">
        <f t="shared" si="3"/>
        <v>1245729.1729688477</v>
      </c>
    </row>
    <row r="7" spans="1:9" ht="15.75" customHeight="1">
      <c r="A7" s="92" t="str">
        <f t="shared" si="2"/>
        <v/>
      </c>
      <c r="B7" s="74">
        <v>64438.406999999999</v>
      </c>
      <c r="C7" s="75">
        <v>177000</v>
      </c>
      <c r="D7" s="75">
        <v>374000</v>
      </c>
      <c r="E7" s="75">
        <v>409000</v>
      </c>
      <c r="F7" s="75">
        <v>365000</v>
      </c>
      <c r="G7" s="22">
        <f t="shared" si="0"/>
        <v>1325000</v>
      </c>
      <c r="H7" s="22">
        <f t="shared" si="1"/>
        <v>74514.219801568033</v>
      </c>
      <c r="I7" s="22">
        <f t="shared" si="3"/>
        <v>1250485.780198432</v>
      </c>
    </row>
    <row r="8" spans="1:9" ht="15.75" customHeight="1">
      <c r="A8" s="92" t="str">
        <f t="shared" si="2"/>
        <v/>
      </c>
      <c r="B8" s="74">
        <v>63988.183199999999</v>
      </c>
      <c r="C8" s="75">
        <v>177000</v>
      </c>
      <c r="D8" s="75">
        <v>370000</v>
      </c>
      <c r="E8" s="75">
        <v>409000</v>
      </c>
      <c r="F8" s="75">
        <v>373000</v>
      </c>
      <c r="G8" s="22">
        <f t="shared" si="0"/>
        <v>1329000</v>
      </c>
      <c r="H8" s="22">
        <f t="shared" si="1"/>
        <v>73993.597446749467</v>
      </c>
      <c r="I8" s="22">
        <f t="shared" si="3"/>
        <v>1255006.4025532505</v>
      </c>
    </row>
    <row r="9" spans="1:9" ht="15.75" customHeight="1">
      <c r="A9" s="92" t="str">
        <f t="shared" si="2"/>
        <v/>
      </c>
      <c r="B9" s="74">
        <v>63501.413399999998</v>
      </c>
      <c r="C9" s="75">
        <v>176000</v>
      </c>
      <c r="D9" s="75">
        <v>366000</v>
      </c>
      <c r="E9" s="75">
        <v>408000</v>
      </c>
      <c r="F9" s="75">
        <v>380000</v>
      </c>
      <c r="G9" s="22">
        <f t="shared" si="0"/>
        <v>1330000</v>
      </c>
      <c r="H9" s="22">
        <f t="shared" si="1"/>
        <v>73430.71463262332</v>
      </c>
      <c r="I9" s="22">
        <f t="shared" si="3"/>
        <v>1256569.2853673766</v>
      </c>
    </row>
    <row r="10" spans="1:9" ht="15.75" customHeight="1">
      <c r="A10" s="92" t="str">
        <f t="shared" si="2"/>
        <v/>
      </c>
      <c r="B10" s="74">
        <v>62990.892199999995</v>
      </c>
      <c r="C10" s="75">
        <v>174000</v>
      </c>
      <c r="D10" s="75">
        <v>362000</v>
      </c>
      <c r="E10" s="75">
        <v>406000</v>
      </c>
      <c r="F10" s="75">
        <v>387000</v>
      </c>
      <c r="G10" s="22">
        <f t="shared" si="0"/>
        <v>1329000</v>
      </c>
      <c r="H10" s="22">
        <f t="shared" si="1"/>
        <v>72840.366567219404</v>
      </c>
      <c r="I10" s="22">
        <f t="shared" si="3"/>
        <v>1256159.6334327806</v>
      </c>
    </row>
    <row r="11" spans="1:9" ht="15.75" customHeight="1">
      <c r="A11" s="92" t="str">
        <f t="shared" si="2"/>
        <v/>
      </c>
      <c r="B11" s="74">
        <v>62457.133199999989</v>
      </c>
      <c r="C11" s="75">
        <v>173000</v>
      </c>
      <c r="D11" s="75">
        <v>359000</v>
      </c>
      <c r="E11" s="75">
        <v>404000</v>
      </c>
      <c r="F11" s="75">
        <v>392000</v>
      </c>
      <c r="G11" s="22">
        <f t="shared" si="0"/>
        <v>1328000</v>
      </c>
      <c r="H11" s="22">
        <f t="shared" si="1"/>
        <v>72223.147158814943</v>
      </c>
      <c r="I11" s="22">
        <f t="shared" si="3"/>
        <v>1255776.8528411849</v>
      </c>
    </row>
    <row r="12" spans="1:9" ht="15.75" customHeight="1">
      <c r="A12" s="92" t="str">
        <f t="shared" si="2"/>
        <v/>
      </c>
      <c r="B12" s="74">
        <v>61889.225000000006</v>
      </c>
      <c r="C12" s="75">
        <v>172000</v>
      </c>
      <c r="D12" s="75">
        <v>356000</v>
      </c>
      <c r="E12" s="75">
        <v>400000</v>
      </c>
      <c r="F12" s="75">
        <v>397000</v>
      </c>
      <c r="G12" s="22">
        <f t="shared" si="0"/>
        <v>1325000</v>
      </c>
      <c r="H12" s="22">
        <f t="shared" si="1"/>
        <v>71566.438863063449</v>
      </c>
      <c r="I12" s="22">
        <f t="shared" si="3"/>
        <v>1253433.5611369365</v>
      </c>
    </row>
    <row r="13" spans="1:9" ht="15.75" customHeight="1">
      <c r="A13" s="92" t="str">
        <f t="shared" si="2"/>
        <v/>
      </c>
      <c r="B13" s="74">
        <v>180000</v>
      </c>
      <c r="C13" s="75">
        <v>402000</v>
      </c>
      <c r="D13" s="75">
        <v>393000</v>
      </c>
      <c r="E13" s="75">
        <v>321000</v>
      </c>
      <c r="F13" s="75">
        <v>4.7955237499999999E-3</v>
      </c>
      <c r="G13" s="22">
        <f t="shared" si="0"/>
        <v>1116000.0047955238</v>
      </c>
      <c r="H13" s="22">
        <f t="shared" si="1"/>
        <v>208145.42426975648</v>
      </c>
      <c r="I13" s="22">
        <f t="shared" si="3"/>
        <v>907854.58052576729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4.7955237499999999E-3</v>
      </c>
    </row>
    <row r="4" spans="1:8" ht="15.75" customHeight="1">
      <c r="B4" s="24" t="s">
        <v>7</v>
      </c>
      <c r="C4" s="76">
        <v>4.7087419340603537E-2</v>
      </c>
    </row>
    <row r="5" spans="1:8" ht="15.75" customHeight="1">
      <c r="B5" s="24" t="s">
        <v>8</v>
      </c>
      <c r="C5" s="76">
        <v>3.927327227805795E-2</v>
      </c>
    </row>
    <row r="6" spans="1:8" ht="15.75" customHeight="1">
      <c r="B6" s="24" t="s">
        <v>10</v>
      </c>
      <c r="C6" s="76">
        <v>9.1867320854558412E-2</v>
      </c>
    </row>
    <row r="7" spans="1:8" ht="15.75" customHeight="1">
      <c r="B7" s="24" t="s">
        <v>13</v>
      </c>
      <c r="C7" s="76">
        <v>0.286933094558665</v>
      </c>
    </row>
    <row r="8" spans="1:8" ht="15.75" customHeight="1">
      <c r="B8" s="24" t="s">
        <v>14</v>
      </c>
      <c r="C8" s="76">
        <v>1.8417272837098954E-6</v>
      </c>
    </row>
    <row r="9" spans="1:8" ht="15.75" customHeight="1">
      <c r="B9" s="24" t="s">
        <v>27</v>
      </c>
      <c r="C9" s="76">
        <v>0.319661674203706</v>
      </c>
    </row>
    <row r="10" spans="1:8" ht="15.75" customHeight="1">
      <c r="B10" s="24" t="s">
        <v>15</v>
      </c>
      <c r="C10" s="76">
        <v>0.21037985328712538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5.0783944900674297E-2</v>
      </c>
      <c r="D14" s="76">
        <v>5.0783944900674297E-2</v>
      </c>
      <c r="E14" s="76">
        <v>4.3504955909959703E-2</v>
      </c>
      <c r="F14" s="76">
        <v>4.3504955909959703E-2</v>
      </c>
    </row>
    <row r="15" spans="1:8" ht="15.75" customHeight="1">
      <c r="B15" s="24" t="s">
        <v>16</v>
      </c>
      <c r="C15" s="76">
        <v>0.120012680985411</v>
      </c>
      <c r="D15" s="76">
        <v>0.120012680985411</v>
      </c>
      <c r="E15" s="76">
        <v>7.0043386058049897E-2</v>
      </c>
      <c r="F15" s="76">
        <v>7.0043386058049897E-2</v>
      </c>
    </row>
    <row r="16" spans="1:8" ht="15.75" customHeight="1">
      <c r="B16" s="24" t="s">
        <v>17</v>
      </c>
      <c r="C16" s="76">
        <v>2.8613967212982198E-2</v>
      </c>
      <c r="D16" s="76">
        <v>2.8613967212982198E-2</v>
      </c>
      <c r="E16" s="76">
        <v>2.16414157783574E-2</v>
      </c>
      <c r="F16" s="76">
        <v>2.16414157783574E-2</v>
      </c>
    </row>
    <row r="17" spans="1:8" ht="15.75" customHeight="1">
      <c r="B17" s="24" t="s">
        <v>18</v>
      </c>
      <c r="C17" s="76">
        <v>4.1826171552031399E-5</v>
      </c>
      <c r="D17" s="76">
        <v>4.1826171552031399E-5</v>
      </c>
      <c r="E17" s="76">
        <v>9.8307408851423494E-5</v>
      </c>
      <c r="F17" s="76">
        <v>9.8307408851423494E-5</v>
      </c>
    </row>
    <row r="18" spans="1:8" ht="15.75" customHeight="1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>
      <c r="B19" s="24" t="s">
        <v>20</v>
      </c>
      <c r="C19" s="76">
        <v>1.21355857301972E-3</v>
      </c>
      <c r="D19" s="76">
        <v>1.21355857301972E-3</v>
      </c>
      <c r="E19" s="76">
        <v>5.8045689916765703E-4</v>
      </c>
      <c r="F19" s="76">
        <v>5.8045689916765703E-4</v>
      </c>
    </row>
    <row r="20" spans="1:8" ht="15.75" customHeight="1">
      <c r="B20" s="24" t="s">
        <v>21</v>
      </c>
      <c r="C20" s="76">
        <v>1.5515079750352099E-2</v>
      </c>
      <c r="D20" s="76">
        <v>1.5515079750352099E-2</v>
      </c>
      <c r="E20" s="76">
        <v>2.2134302838841598E-2</v>
      </c>
      <c r="F20" s="76">
        <v>2.2134302838841598E-2</v>
      </c>
    </row>
    <row r="21" spans="1:8" ht="15.75" customHeight="1">
      <c r="B21" s="24" t="s">
        <v>22</v>
      </c>
      <c r="C21" s="76">
        <v>5.9933500517807298E-2</v>
      </c>
      <c r="D21" s="76">
        <v>5.9933500517807298E-2</v>
      </c>
      <c r="E21" s="76">
        <v>0.246967598488599</v>
      </c>
      <c r="F21" s="76">
        <v>0.246967598488599</v>
      </c>
    </row>
    <row r="22" spans="1:8" ht="15.75" customHeight="1">
      <c r="B22" s="24" t="s">
        <v>23</v>
      </c>
      <c r="C22" s="76">
        <v>0.72388544188820136</v>
      </c>
      <c r="D22" s="76">
        <v>0.72388544188820136</v>
      </c>
      <c r="E22" s="76">
        <v>0.59502957661817335</v>
      </c>
      <c r="F22" s="76">
        <v>0.59502957661817335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4.3799999999999999E-2</v>
      </c>
    </row>
    <row r="27" spans="1:8" ht="15.75" customHeight="1">
      <c r="B27" s="24" t="s">
        <v>39</v>
      </c>
      <c r="C27" s="76">
        <v>3.4000000000000002E-2</v>
      </c>
    </row>
    <row r="28" spans="1:8" ht="15.75" customHeight="1">
      <c r="B28" s="24" t="s">
        <v>40</v>
      </c>
      <c r="C28" s="76">
        <v>4.3299999999999998E-2</v>
      </c>
    </row>
    <row r="29" spans="1:8" ht="15.75" customHeight="1">
      <c r="B29" s="24" t="s">
        <v>41</v>
      </c>
      <c r="C29" s="76">
        <v>0.17760000000000001</v>
      </c>
    </row>
    <row r="30" spans="1:8" ht="15.75" customHeight="1">
      <c r="B30" s="24" t="s">
        <v>42</v>
      </c>
      <c r="C30" s="76">
        <v>3.1899999999999998E-2</v>
      </c>
    </row>
    <row r="31" spans="1:8" ht="15.75" customHeight="1">
      <c r="B31" s="24" t="s">
        <v>43</v>
      </c>
      <c r="C31" s="76">
        <v>9.35E-2</v>
      </c>
    </row>
    <row r="32" spans="1:8" ht="15.75" customHeight="1">
      <c r="B32" s="24" t="s">
        <v>44</v>
      </c>
      <c r="C32" s="76">
        <v>7.8399999999999997E-2</v>
      </c>
    </row>
    <row r="33" spans="2:3" ht="15.75" customHeight="1">
      <c r="B33" s="24" t="s">
        <v>45</v>
      </c>
      <c r="C33" s="76">
        <v>0.1575</v>
      </c>
    </row>
    <row r="34" spans="2:3" ht="15.75" customHeight="1">
      <c r="B34" s="24" t="s">
        <v>46</v>
      </c>
      <c r="C34" s="76">
        <v>0.33999999999776487</v>
      </c>
    </row>
    <row r="35" spans="2:3" ht="15.75" customHeight="1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0.70988800075199998</v>
      </c>
      <c r="D2" s="77">
        <v>0.65879999999999994</v>
      </c>
      <c r="E2" s="77">
        <v>0.61709999999999998</v>
      </c>
      <c r="F2" s="77">
        <v>0.47139999999999999</v>
      </c>
      <c r="G2" s="77">
        <v>0.46479999999999999</v>
      </c>
    </row>
    <row r="3" spans="1:15" ht="15.75" customHeight="1">
      <c r="A3" s="5"/>
      <c r="B3" s="11" t="s">
        <v>118</v>
      </c>
      <c r="C3" s="77">
        <v>0.21899999999999997</v>
      </c>
      <c r="D3" s="77">
        <v>0.21899999999999997</v>
      </c>
      <c r="E3" s="77">
        <v>0.2384</v>
      </c>
      <c r="F3" s="77">
        <v>0.2787</v>
      </c>
      <c r="G3" s="77">
        <v>0.29299999999999998</v>
      </c>
    </row>
    <row r="4" spans="1:15" ht="15.75" customHeight="1">
      <c r="A4" s="5"/>
      <c r="B4" s="11" t="s">
        <v>116</v>
      </c>
      <c r="C4" s="78">
        <v>7.9899999999999999E-2</v>
      </c>
      <c r="D4" s="78">
        <v>7.9899999999999999E-2</v>
      </c>
      <c r="E4" s="78">
        <v>0.1056</v>
      </c>
      <c r="F4" s="78">
        <v>0.16649999999999998</v>
      </c>
      <c r="G4" s="78">
        <v>0.16589999999999999</v>
      </c>
    </row>
    <row r="5" spans="1:15" ht="15.75" customHeight="1">
      <c r="A5" s="5"/>
      <c r="B5" s="11" t="s">
        <v>119</v>
      </c>
      <c r="C5" s="78">
        <v>4.2199999999999994E-2</v>
      </c>
      <c r="D5" s="78">
        <v>4.2199999999999994E-2</v>
      </c>
      <c r="E5" s="78">
        <v>3.8800000000000001E-2</v>
      </c>
      <c r="F5" s="78">
        <v>8.3499999999999991E-2</v>
      </c>
      <c r="G5" s="78">
        <v>7.6299999999999993E-2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0.85880000000000001</v>
      </c>
      <c r="D8" s="77">
        <v>0.85880000000000001</v>
      </c>
      <c r="E8" s="77">
        <v>0.86970000000000003</v>
      </c>
      <c r="F8" s="77">
        <v>0.88590000000000002</v>
      </c>
      <c r="G8" s="77">
        <v>0.90659999999999996</v>
      </c>
    </row>
    <row r="9" spans="1:15" ht="15.75" customHeight="1">
      <c r="B9" s="7" t="s">
        <v>121</v>
      </c>
      <c r="C9" s="77">
        <v>9.4E-2</v>
      </c>
      <c r="D9" s="77">
        <v>9.4E-2</v>
      </c>
      <c r="E9" s="77">
        <v>9.1300000000000006E-2</v>
      </c>
      <c r="F9" s="77">
        <v>8.9099999999999999E-2</v>
      </c>
      <c r="G9" s="77">
        <v>7.5600000000000001E-2</v>
      </c>
    </row>
    <row r="10" spans="1:15" ht="15.75" customHeight="1">
      <c r="B10" s="7" t="s">
        <v>122</v>
      </c>
      <c r="C10" s="78">
        <v>2.9900000000000003E-2</v>
      </c>
      <c r="D10" s="78">
        <v>2.9900000000000003E-2</v>
      </c>
      <c r="E10" s="78">
        <v>2.81E-2</v>
      </c>
      <c r="F10" s="78">
        <v>1.7600000000000001E-2</v>
      </c>
      <c r="G10" s="78">
        <v>1.3100000000000001E-2</v>
      </c>
    </row>
    <row r="11" spans="1:15" ht="15.75" customHeight="1">
      <c r="B11" s="7" t="s">
        <v>123</v>
      </c>
      <c r="C11" s="78">
        <v>1.7299999999999999E-2</v>
      </c>
      <c r="D11" s="78">
        <v>1.7299999999999999E-2</v>
      </c>
      <c r="E11" s="78">
        <v>1.1000000000000001E-2</v>
      </c>
      <c r="F11" s="78">
        <v>7.3405800000000002E-3</v>
      </c>
      <c r="G11" s="78">
        <v>4.7631000000000001E-3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0.11872693625000003</v>
      </c>
      <c r="D14" s="79">
        <v>0.10841147821199999</v>
      </c>
      <c r="E14" s="79">
        <v>0.10841147821199999</v>
      </c>
      <c r="F14" s="79">
        <v>0.15067343412</v>
      </c>
      <c r="G14" s="79">
        <v>0.15067343412</v>
      </c>
      <c r="H14" s="80">
        <v>0.247</v>
      </c>
      <c r="I14" s="80">
        <v>0.247</v>
      </c>
      <c r="J14" s="80">
        <v>0.247</v>
      </c>
      <c r="K14" s="80">
        <v>0.247</v>
      </c>
      <c r="L14" s="80">
        <v>0.15132999999999999</v>
      </c>
      <c r="M14" s="80">
        <v>0.15132999999999999</v>
      </c>
      <c r="N14" s="80">
        <v>0.15132999999999999</v>
      </c>
      <c r="O14" s="80">
        <v>0.15132999999999999</v>
      </c>
    </row>
    <row r="15" spans="1:15" ht="15.75" customHeight="1">
      <c r="B15" s="16" t="s">
        <v>68</v>
      </c>
      <c r="C15" s="77">
        <f t="shared" ref="C15:O15" si="0">iron_deficiency_anaemia*C14</f>
        <v>6.4752453416517627E-2</v>
      </c>
      <c r="D15" s="77">
        <f t="shared" si="0"/>
        <v>5.9126508393653118E-2</v>
      </c>
      <c r="E15" s="77">
        <f t="shared" si="0"/>
        <v>5.9126508393653118E-2</v>
      </c>
      <c r="F15" s="77">
        <f t="shared" si="0"/>
        <v>8.2175745724778912E-2</v>
      </c>
      <c r="G15" s="77">
        <f t="shared" si="0"/>
        <v>8.2175745724778912E-2</v>
      </c>
      <c r="H15" s="77">
        <f t="shared" si="0"/>
        <v>0.13471126687040955</v>
      </c>
      <c r="I15" s="77">
        <f t="shared" si="0"/>
        <v>0.13471126687040955</v>
      </c>
      <c r="J15" s="77">
        <f t="shared" si="0"/>
        <v>0.13471126687040955</v>
      </c>
      <c r="K15" s="77">
        <f t="shared" si="0"/>
        <v>0.13471126687040955</v>
      </c>
      <c r="L15" s="77">
        <f t="shared" si="0"/>
        <v>8.2533830022263457E-2</v>
      </c>
      <c r="M15" s="77">
        <f t="shared" si="0"/>
        <v>8.2533830022263457E-2</v>
      </c>
      <c r="N15" s="77">
        <f t="shared" si="0"/>
        <v>8.2533830022263457E-2</v>
      </c>
      <c r="O15" s="77">
        <f t="shared" si="0"/>
        <v>8.2533830022263457E-2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0.57020000000000004</v>
      </c>
      <c r="D2" s="78">
        <v>0.19450000000000001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0.1065</v>
      </c>
      <c r="D3" s="78">
        <v>0.16820000000000002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0.2455</v>
      </c>
      <c r="D4" s="78">
        <v>0.55669999999999997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7.7799999999999869E-2</v>
      </c>
      <c r="D5" s="77">
        <f t="shared" ref="D5:G5" si="0">1-SUM(D2:D4)</f>
        <v>8.0600000000000005E-2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tabSelected="1"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0.22209999999999999</v>
      </c>
      <c r="D2" s="28">
        <v>0.22259999999999999</v>
      </c>
      <c r="E2" s="28">
        <v>0.22239999999999999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2.4225030000000002E-2</v>
      </c>
      <c r="D4" s="28">
        <v>2.421392E-2</v>
      </c>
      <c r="E4" s="28">
        <v>2.421392E-2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0.10841147821199999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0.247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0.15132999999999999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0.19450000000000001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7.5629999999999997</v>
      </c>
      <c r="D13" s="28">
        <v>7.3890000000000002</v>
      </c>
      <c r="E13" s="28">
        <v>7.2249999999999996</v>
      </c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0.25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9" sqref="D9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 t="s">
        <v>216</v>
      </c>
      <c r="E10" s="58"/>
    </row>
    <row r="11" spans="1:5">
      <c r="A11" s="47"/>
      <c r="B11" s="46" t="s">
        <v>2</v>
      </c>
      <c r="C11" s="81"/>
      <c r="D11" s="81" t="s">
        <v>216</v>
      </c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107.02019089473323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40.978199545296739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1182.4638102000422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1.7271046281025932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2.5776652597786267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2.5776652597786267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2.5776652597786267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2.5776652597786267</v>
      </c>
      <c r="E13" s="86" t="s">
        <v>201</v>
      </c>
    </row>
    <row r="14" spans="1:5" ht="15.75" customHeight="1">
      <c r="A14" s="11" t="s">
        <v>189</v>
      </c>
      <c r="B14" s="85">
        <v>0</v>
      </c>
      <c r="C14" s="85">
        <v>0.95</v>
      </c>
      <c r="D14" s="86">
        <v>14.110498989092644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14.110498989092644</v>
      </c>
      <c r="E15" s="86" t="s">
        <v>201</v>
      </c>
    </row>
    <row r="16" spans="1:5" ht="15.75" customHeight="1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1.8172647889879923</v>
      </c>
      <c r="E17" s="86" t="s">
        <v>201</v>
      </c>
    </row>
    <row r="18" spans="1:5" ht="15.75" customHeight="1">
      <c r="A18" s="53" t="s">
        <v>175</v>
      </c>
      <c r="B18" s="85">
        <v>0.157</v>
      </c>
      <c r="C18" s="85">
        <v>0.95</v>
      </c>
      <c r="D18" s="86">
        <v>27.02885669161574</v>
      </c>
      <c r="E18" s="86" t="s">
        <v>201</v>
      </c>
    </row>
    <row r="19" spans="1:5" ht="15.75" customHeight="1">
      <c r="A19" s="53" t="s">
        <v>174</v>
      </c>
      <c r="B19" s="85">
        <v>0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17.591217247758358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24.926085555919201</v>
      </c>
      <c r="E22" s="86" t="s">
        <v>201</v>
      </c>
    </row>
    <row r="23" spans="1:5" ht="15.75" customHeight="1">
      <c r="A23" s="53" t="s">
        <v>34</v>
      </c>
      <c r="B23" s="85">
        <v>0</v>
      </c>
      <c r="C23" s="85">
        <v>0.95</v>
      </c>
      <c r="D23" s="86">
        <v>4.9657873780366408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19.666377180581684</v>
      </c>
      <c r="E24" s="86" t="s">
        <v>201</v>
      </c>
    </row>
    <row r="25" spans="1:5" ht="15.75" customHeight="1">
      <c r="A25" s="53" t="s">
        <v>87</v>
      </c>
      <c r="B25" s="85">
        <v>0.42899999999999999</v>
      </c>
      <c r="C25" s="85">
        <v>0.95</v>
      </c>
      <c r="D25" s="86">
        <v>19.673393630804441</v>
      </c>
      <c r="E25" s="86" t="s">
        <v>201</v>
      </c>
    </row>
    <row r="26" spans="1:5" ht="15.75" customHeight="1">
      <c r="A26" s="53" t="s">
        <v>137</v>
      </c>
      <c r="B26" s="85">
        <v>0</v>
      </c>
      <c r="C26" s="85">
        <v>0.95</v>
      </c>
      <c r="D26" s="86">
        <v>7.6902021802411138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14.766126484927556</v>
      </c>
      <c r="E27" s="86" t="s">
        <v>201</v>
      </c>
    </row>
    <row r="28" spans="1:5" ht="15.75" customHeight="1">
      <c r="A28" s="53" t="s">
        <v>84</v>
      </c>
      <c r="B28" s="85">
        <v>0.4</v>
      </c>
      <c r="C28" s="85">
        <v>0.95</v>
      </c>
      <c r="D28" s="86">
        <v>1.5635149374730359</v>
      </c>
      <c r="E28" s="86" t="s">
        <v>201</v>
      </c>
    </row>
    <row r="29" spans="1:5" ht="15.75" customHeight="1">
      <c r="A29" s="53" t="s">
        <v>58</v>
      </c>
      <c r="B29" s="85">
        <v>0</v>
      </c>
      <c r="C29" s="85">
        <v>0.95</v>
      </c>
      <c r="D29" s="86">
        <v>225.46212730893362</v>
      </c>
      <c r="E29" s="86" t="s">
        <v>201</v>
      </c>
    </row>
    <row r="30" spans="1:5" ht="15.75" customHeight="1">
      <c r="A30" s="53" t="s">
        <v>67</v>
      </c>
      <c r="B30" s="85">
        <v>0</v>
      </c>
      <c r="C30" s="85">
        <v>0.95</v>
      </c>
      <c r="D30" s="86">
        <v>307.68569549226834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307.68569549226834</v>
      </c>
      <c r="E31" s="86" t="s">
        <v>201</v>
      </c>
    </row>
    <row r="32" spans="1:5" ht="15.75" customHeight="1">
      <c r="A32" s="53" t="s">
        <v>28</v>
      </c>
      <c r="B32" s="85">
        <v>0</v>
      </c>
      <c r="C32" s="85">
        <v>0.95</v>
      </c>
      <c r="D32" s="86">
        <v>4.0149037192341366</v>
      </c>
      <c r="E32" s="86" t="s">
        <v>201</v>
      </c>
    </row>
    <row r="33" spans="1:6" ht="15.75" customHeight="1">
      <c r="A33" s="53" t="s">
        <v>83</v>
      </c>
      <c r="B33" s="85">
        <v>0.89400000000000002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0.27899999999999997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0.97799999999999998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0.99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0.99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1.3000000000000001E-2</v>
      </c>
      <c r="C38" s="85">
        <v>0.95</v>
      </c>
      <c r="D38" s="86">
        <v>2.6872643139370465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4.036025925348576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3.6579285374499997</v>
      </c>
      <c r="C2" s="26">
        <f>'Baseline year population inputs'!C52</f>
        <v>3.33872186364</v>
      </c>
      <c r="D2" s="26">
        <f>'Baseline year population inputs'!C53</f>
        <v>3.33872186364</v>
      </c>
      <c r="E2" s="26">
        <f>'Baseline year population inputs'!C54</f>
        <v>2.0256496390700001</v>
      </c>
      <c r="F2" s="26">
        <f>'Baseline year population inputs'!C55</f>
        <v>2.0256496390700001</v>
      </c>
    </row>
    <row r="3" spans="1:6" ht="15.75" customHeight="1">
      <c r="A3" s="3" t="s">
        <v>65</v>
      </c>
      <c r="B3" s="26">
        <f>frac_mam_1month * 2.6</f>
        <v>7.7740000000000004E-2</v>
      </c>
      <c r="C3" s="26">
        <f>frac_mam_1_5months * 2.6</f>
        <v>7.7740000000000004E-2</v>
      </c>
      <c r="D3" s="26">
        <f>frac_mam_6_11months * 2.6</f>
        <v>7.306E-2</v>
      </c>
      <c r="E3" s="26">
        <f>frac_mam_12_23months * 2.6</f>
        <v>4.5760000000000002E-2</v>
      </c>
      <c r="F3" s="26">
        <f>frac_mam_24_59months * 2.6</f>
        <v>3.406E-2</v>
      </c>
    </row>
    <row r="4" spans="1:6" ht="15.75" customHeight="1">
      <c r="A4" s="3" t="s">
        <v>66</v>
      </c>
      <c r="B4" s="26">
        <f>frac_sam_1month * 2.6</f>
        <v>4.4979999999999999E-2</v>
      </c>
      <c r="C4" s="26">
        <f>frac_sam_1_5months * 2.6</f>
        <v>4.4979999999999999E-2</v>
      </c>
      <c r="D4" s="26">
        <f>frac_sam_6_11months * 2.6</f>
        <v>2.8600000000000004E-2</v>
      </c>
      <c r="E4" s="26">
        <f>frac_sam_12_23months * 2.6</f>
        <v>1.9085508000000001E-2</v>
      </c>
      <c r="F4" s="26">
        <f>frac_sam_24_59months * 2.6</f>
        <v>1.2384060000000001E-2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0.01</v>
      </c>
      <c r="E2" s="93">
        <f>food_insecure</f>
        <v>0.01</v>
      </c>
      <c r="F2" s="93">
        <f>food_insecure</f>
        <v>0.01</v>
      </c>
      <c r="G2" s="93">
        <f>food_insecure</f>
        <v>0.01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0.01</v>
      </c>
      <c r="F5" s="93">
        <f>food_insecure</f>
        <v>0.01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3.6579285374499997</v>
      </c>
      <c r="D7" s="93">
        <f>diarrhoea_1_5mo</f>
        <v>3.33872186364</v>
      </c>
      <c r="E7" s="93">
        <f>diarrhoea_6_11mo</f>
        <v>3.33872186364</v>
      </c>
      <c r="F7" s="93">
        <f>diarrhoea_12_23mo</f>
        <v>2.0256496390700001</v>
      </c>
      <c r="G7" s="93">
        <f>diarrhoea_24_59mo</f>
        <v>2.0256496390700001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0.01</v>
      </c>
      <c r="F8" s="93">
        <f>food_insecure</f>
        <v>0.01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3.6579285374499997</v>
      </c>
      <c r="D12" s="93">
        <f>diarrhoea_1_5mo</f>
        <v>3.33872186364</v>
      </c>
      <c r="E12" s="93">
        <f>diarrhoea_6_11mo</f>
        <v>3.33872186364</v>
      </c>
      <c r="F12" s="93">
        <f>diarrhoea_12_23mo</f>
        <v>2.0256496390700001</v>
      </c>
      <c r="G12" s="93">
        <f>diarrhoea_24_59mo</f>
        <v>2.0256496390700001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0.01</v>
      </c>
      <c r="I15" s="93">
        <f>food_insecure</f>
        <v>0.01</v>
      </c>
      <c r="J15" s="93">
        <f>food_insecure</f>
        <v>0.01</v>
      </c>
      <c r="K15" s="93">
        <f>food_insecure</f>
        <v>0.01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0.97599999999999998</v>
      </c>
      <c r="I18" s="93">
        <f>frac_PW_health_facility</f>
        <v>0.97599999999999998</v>
      </c>
      <c r="J18" s="93">
        <f>frac_PW_health_facility</f>
        <v>0.97599999999999998</v>
      </c>
      <c r="K18" s="93">
        <f>frac_PW_health_facility</f>
        <v>0.97599999999999998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0.109</v>
      </c>
      <c r="M24" s="93">
        <f>famplan_unmet_need</f>
        <v>0.109</v>
      </c>
      <c r="N24" s="93">
        <f>famplan_unmet_need</f>
        <v>0.109</v>
      </c>
      <c r="O24" s="93">
        <f>famplan_unmet_need</f>
        <v>0.109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7.6509100326537877E-2</v>
      </c>
      <c r="M25" s="93">
        <f>(1-food_insecure)*(0.49)+food_insecure*(0.7)</f>
        <v>0.49209999999999998</v>
      </c>
      <c r="N25" s="93">
        <f>(1-food_insecure)*(0.49)+food_insecure*(0.7)</f>
        <v>0.49209999999999998</v>
      </c>
      <c r="O25" s="93">
        <f>(1-food_insecure)*(0.49)+food_insecure*(0.7)</f>
        <v>0.49209999999999998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3.2789614425659093E-2</v>
      </c>
      <c r="M26" s="93">
        <f>(1-food_insecure)*(0.21)+food_insecure*(0.3)</f>
        <v>0.2109</v>
      </c>
      <c r="N26" s="93">
        <f>(1-food_insecure)*(0.21)+food_insecure*(0.3)</f>
        <v>0.2109</v>
      </c>
      <c r="O26" s="93">
        <f>(1-food_insecure)*(0.21)+food_insecure*(0.3)</f>
        <v>0.2109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4.6175986175536983E-2</v>
      </c>
      <c r="M27" s="93">
        <f>(1-food_insecure)*(0.3)</f>
        <v>0.29699999999999999</v>
      </c>
      <c r="N27" s="93">
        <f>(1-food_insecure)*(0.3)</f>
        <v>0.29699999999999999</v>
      </c>
      <c r="O27" s="93">
        <f>(1-food_insecure)*(0.3)</f>
        <v>0.29699999999999999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0.84452529907226603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2020-08-28T07:40:50Z</dcterms:modified>
</cp:coreProperties>
</file>