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18DCEF3-0AF0-409B-A10E-1B1D41C24CF0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<sst xmlns="http://schemas.openxmlformats.org/spreadsheetml/2006/main" count="1113" uniqueCount="272">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</sst>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2745435</v>
      </c>
    </row>
    <row r="8" spans="1:3" ht="15" customHeight="1">
      <c r="B8" s="7" t="s">
        <v>106</v>
      </c>
      <c r="C8" s="66">
        <v>0.19699999999999998</v>
      </c>
    </row>
    <row r="9" spans="1:3" ht="15" customHeight="1">
      <c r="B9" s="9" t="s">
        <v>107</v>
      </c>
      <c r="C9" s="67">
        <v>2.5600000000000001E-2</v>
      </c>
    </row>
    <row r="10" spans="1:3" ht="15" customHeight="1">
      <c r="B10" s="9" t="s">
        <v>105</v>
      </c>
      <c r="C10" s="67">
        <v>0.57262748718261702</v>
      </c>
    </row>
    <row r="11" spans="1:3" ht="15" customHeight="1">
      <c r="B11" s="7" t="s">
        <v>108</v>
      </c>
      <c r="C11" s="66">
        <v>0.69400000000000006</v>
      </c>
    </row>
    <row r="12" spans="1:3" ht="15" customHeight="1">
      <c r="B12" s="7" t="s">
        <v>109</v>
      </c>
      <c r="C12" s="66">
        <v>0.84900000000000009</v>
      </c>
    </row>
    <row r="13" spans="1:3" ht="15" customHeight="1">
      <c r="B13" s="7" t="s">
        <v>110</v>
      </c>
      <c r="C13" s="66">
        <v>0.439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0.1673</v>
      </c>
    </row>
    <row r="24" spans="1:3" ht="15" customHeight="1">
      <c r="B24" s="20" t="s">
        <v>102</v>
      </c>
      <c r="C24" s="67">
        <v>0.62609999999999999</v>
      </c>
    </row>
    <row r="25" spans="1:3" ht="15" customHeight="1">
      <c r="B25" s="20" t="s">
        <v>103</v>
      </c>
      <c r="C25" s="67">
        <v>0.1709</v>
      </c>
    </row>
    <row r="26" spans="1:3" ht="15" customHeight="1">
      <c r="B26" s="20" t="s">
        <v>104</v>
      </c>
      <c r="C26" s="67">
        <v>3.5700000000000003E-2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0.34100000000000003</v>
      </c>
    </row>
    <row r="30" spans="1:3" ht="14.25" customHeight="1">
      <c r="B30" s="30" t="s">
        <v>76</v>
      </c>
      <c r="C30" s="69">
        <v>4.8000000000000001E-2</v>
      </c>
    </row>
    <row r="31" spans="1:3" ht="14.25" customHeight="1">
      <c r="B31" s="30" t="s">
        <v>77</v>
      </c>
      <c r="C31" s="69">
        <v>0.11199999999999999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20.7</v>
      </c>
    </row>
    <row r="38" spans="1:5" ht="15" customHeight="1">
      <c r="B38" s="16" t="s">
        <v>91</v>
      </c>
      <c r="C38" s="68">
        <v>27.8</v>
      </c>
      <c r="D38" s="17"/>
      <c r="E38" s="18"/>
    </row>
    <row r="39" spans="1:5" ht="15" customHeight="1">
      <c r="B39" s="16" t="s">
        <v>90</v>
      </c>
      <c r="C39" s="68">
        <v>33.700000000000003</v>
      </c>
      <c r="D39" s="17"/>
      <c r="E39" s="17"/>
    </row>
    <row r="40" spans="1:5" ht="15" customHeight="1">
      <c r="B40" s="16" t="s">
        <v>171</v>
      </c>
      <c r="C40" s="68">
        <v>2.58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18.399999999999999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3.1300000000000001E-2</v>
      </c>
      <c r="D45" s="17"/>
    </row>
    <row r="46" spans="1:5" ht="15.75" customHeight="1">
      <c r="B46" s="16" t="s">
        <v>11</v>
      </c>
      <c r="C46" s="67">
        <v>0.1091</v>
      </c>
      <c r="D46" s="17"/>
    </row>
    <row r="47" spans="1:5" ht="15.75" customHeight="1">
      <c r="B47" s="16" t="s">
        <v>12</v>
      </c>
      <c r="C47" s="67">
        <v>0.36170000000000002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0.49790000000000001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1.3749596780049975</v>
      </c>
      <c r="D51" s="17"/>
    </row>
    <row r="52" spans="1:4" ht="15" customHeight="1">
      <c r="B52" s="16" t="s">
        <v>125</v>
      </c>
      <c r="C52" s="65">
        <v>1.24482757294</v>
      </c>
    </row>
    <row r="53" spans="1:4" ht="15.75" customHeight="1">
      <c r="B53" s="16" t="s">
        <v>126</v>
      </c>
      <c r="C53" s="65">
        <v>1.24482757294</v>
      </c>
    </row>
    <row r="54" spans="1:4" ht="15.75" customHeight="1">
      <c r="B54" s="16" t="s">
        <v>127</v>
      </c>
      <c r="C54" s="65">
        <v>1.0311390201299899</v>
      </c>
    </row>
    <row r="55" spans="1:4" ht="15.75" customHeight="1">
      <c r="B55" s="16" t="s">
        <v>128</v>
      </c>
      <c r="C55" s="65">
        <v>1.0311390201299899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0.51214903195702188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1.3749596780049975</v>
      </c>
      <c r="C2" s="26">
        <f>'Baseline year population inputs'!C52</f>
        <v>1.24482757294</v>
      </c>
      <c r="D2" s="26">
        <f>'Baseline year population inputs'!C53</f>
        <v>1.24482757294</v>
      </c>
      <c r="E2" s="26">
        <f>'Baseline year population inputs'!C54</f>
        <v>1.0311390201299899</v>
      </c>
      <c r="F2" s="26">
        <f>'Baseline year population inputs'!C55</f>
        <v>1.0311390201299899</v>
      </c>
    </row>
    <row r="3" spans="1:6" ht="15.75" customHeight="1">
      <c r="A3" s="3" t="s">
        <v>65</v>
      </c>
      <c r="B3" s="26">
        <f>frac_mam_1month * 2.6</f>
        <v>0.25090000000000001</v>
      </c>
      <c r="C3" s="26">
        <f>frac_mam_1_5months * 2.6</f>
        <v>0.25090000000000001</v>
      </c>
      <c r="D3" s="26">
        <f>frac_mam_6_11months * 2.6</f>
        <v>0.40872000000000003</v>
      </c>
      <c r="E3" s="26">
        <f>frac_mam_12_23months * 2.6</f>
        <v>0.26676</v>
      </c>
      <c r="F3" s="26">
        <f>frac_mam_24_59months * 2.6</f>
        <v>0.14430000000000001</v>
      </c>
    </row>
    <row r="4" spans="1:6" ht="15.75" customHeight="1">
      <c r="A4" s="3" t="s">
        <v>66</v>
      </c>
      <c r="B4" s="26">
        <f>frac_sam_1month * 2.6</f>
        <v>0.14534</v>
      </c>
      <c r="C4" s="26">
        <f>frac_sam_1_5months * 2.6</f>
        <v>0.14534</v>
      </c>
      <c r="D4" s="26">
        <f>frac_sam_6_11months * 2.6</f>
        <v>7.6700000000000004E-2</v>
      </c>
      <c r="E4" s="26">
        <f>frac_sam_12_23months * 2.6</f>
        <v>5.6420000000000005E-2</v>
      </c>
      <c r="F4" s="26">
        <f>frac_sam_24_59months * 2.6</f>
        <v>2.5862979999999997E-2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0.19699999999999998</v>
      </c>
      <c r="E2" s="93">
        <f>food_insecure</f>
        <v>0.19699999999999998</v>
      </c>
      <c r="F2" s="93">
        <f>food_insecure</f>
        <v>0.19699999999999998</v>
      </c>
      <c r="G2" s="93">
        <f>food_insecure</f>
        <v>0.19699999999999998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0.19699999999999998</v>
      </c>
      <c r="F5" s="93">
        <f>food_insecure</f>
        <v>0.19699999999999998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1.3749596780049975</v>
      </c>
      <c r="D7" s="93">
        <f>diarrhoea_1_5mo</f>
        <v>1.24482757294</v>
      </c>
      <c r="E7" s="93">
        <f>diarrhoea_6_11mo</f>
        <v>1.24482757294</v>
      </c>
      <c r="F7" s="93">
        <f>diarrhoea_12_23mo</f>
        <v>1.0311390201299899</v>
      </c>
      <c r="G7" s="93">
        <f>diarrhoea_24_59mo</f>
        <v>1.0311390201299899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0.19699999999999998</v>
      </c>
      <c r="F8" s="93">
        <f>food_insecure</f>
        <v>0.19699999999999998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1.3749596780049975</v>
      </c>
      <c r="D12" s="93">
        <f>diarrhoea_1_5mo</f>
        <v>1.24482757294</v>
      </c>
      <c r="E12" s="93">
        <f>diarrhoea_6_11mo</f>
        <v>1.24482757294</v>
      </c>
      <c r="F12" s="93">
        <f>diarrhoea_12_23mo</f>
        <v>1.0311390201299899</v>
      </c>
      <c r="G12" s="93">
        <f>diarrhoea_24_59mo</f>
        <v>1.0311390201299899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0.19699999999999998</v>
      </c>
      <c r="I15" s="93">
        <f>food_insecure</f>
        <v>0.19699999999999998</v>
      </c>
      <c r="J15" s="93">
        <f>food_insecure</f>
        <v>0.19699999999999998</v>
      </c>
      <c r="K15" s="93">
        <f>food_insecure</f>
        <v>0.19699999999999998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0.69400000000000006</v>
      </c>
      <c r="I18" s="93">
        <f>frac_PW_health_facility</f>
        <v>0.69400000000000006</v>
      </c>
      <c r="J18" s="93">
        <f>frac_PW_health_facility</f>
        <v>0.69400000000000006</v>
      </c>
      <c r="K18" s="93">
        <f>frac_PW_health_facility</f>
        <v>0.69400000000000006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2.5600000000000001E-2</v>
      </c>
      <c r="I19" s="93">
        <f>frac_malaria_risk</f>
        <v>2.5600000000000001E-2</v>
      </c>
      <c r="J19" s="93">
        <f>frac_malaria_risk</f>
        <v>2.5600000000000001E-2</v>
      </c>
      <c r="K19" s="93">
        <f>frac_malaria_risk</f>
        <v>2.5600000000000001E-2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0.439</v>
      </c>
      <c r="M24" s="93">
        <f>famplan_unmet_need</f>
        <v>0.439</v>
      </c>
      <c r="N24" s="93">
        <f>famplan_unmet_need</f>
        <v>0.439</v>
      </c>
      <c r="O24" s="93">
        <f>famplan_unmet_need</f>
        <v>0.439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0.22709293213577281</v>
      </c>
      <c r="M25" s="93">
        <f>(1-food_insecure)*(0.49)+food_insecure*(0.7)</f>
        <v>0.53137000000000001</v>
      </c>
      <c r="N25" s="93">
        <f>(1-food_insecure)*(0.49)+food_insecure*(0.7)</f>
        <v>0.53137000000000001</v>
      </c>
      <c r="O25" s="93">
        <f>(1-food_insecure)*(0.49)+food_insecure*(0.7)</f>
        <v>0.53137000000000001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9.7325542343902616E-2</v>
      </c>
      <c r="M26" s="93">
        <f>(1-food_insecure)*(0.21)+food_insecure*(0.3)</f>
        <v>0.22772999999999999</v>
      </c>
      <c r="N26" s="93">
        <f>(1-food_insecure)*(0.21)+food_insecure*(0.3)</f>
        <v>0.22772999999999999</v>
      </c>
      <c r="O26" s="93">
        <f>(1-food_insecure)*(0.21)+food_insecure*(0.3)</f>
        <v>0.22772999999999999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0.10295403833770755</v>
      </c>
      <c r="M27" s="93">
        <f>(1-food_insecure)*(0.3)</f>
        <v>0.2409</v>
      </c>
      <c r="N27" s="93">
        <f>(1-food_insecure)*(0.3)</f>
        <v>0.2409</v>
      </c>
      <c r="O27" s="93">
        <f>(1-food_insecure)*(0.3)</f>
        <v>0.2409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0.57262748718261702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2.5600000000000001E-2</v>
      </c>
      <c r="D34" s="93">
        <f t="shared" si="3"/>
        <v>2.5600000000000001E-2</v>
      </c>
      <c r="E34" s="93">
        <f t="shared" si="3"/>
        <v>2.5600000000000001E-2</v>
      </c>
      <c r="F34" s="93">
        <f t="shared" si="3"/>
        <v>2.5600000000000001E-2</v>
      </c>
      <c r="G34" s="93">
        <f t="shared" si="3"/>
        <v>2.5600000000000001E-2</v>
      </c>
      <c r="H34" s="93">
        <f t="shared" si="3"/>
        <v>2.5600000000000001E-2</v>
      </c>
      <c r="I34" s="93">
        <f t="shared" si="3"/>
        <v>2.5600000000000001E-2</v>
      </c>
      <c r="J34" s="93">
        <f t="shared" si="3"/>
        <v>2.5600000000000001E-2</v>
      </c>
      <c r="K34" s="93">
        <f t="shared" si="3"/>
        <v>2.5600000000000001E-2</v>
      </c>
      <c r="L34" s="93">
        <f t="shared" si="3"/>
        <v>2.5600000000000001E-2</v>
      </c>
      <c r="M34" s="93">
        <f t="shared" si="3"/>
        <v>2.5600000000000001E-2</v>
      </c>
      <c r="N34" s="93">
        <f t="shared" si="3"/>
        <v>2.5600000000000001E-2</v>
      </c>
      <c r="O34" s="93">
        <f t="shared" si="3"/>
        <v>2.5600000000000001E-2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568603</v>
      </c>
      <c r="C2" s="75">
        <v>1586000</v>
      </c>
      <c r="D2" s="75">
        <v>2930000</v>
      </c>
      <c r="E2" s="75">
        <v>2358000</v>
      </c>
      <c r="F2" s="75">
        <v>1757000</v>
      </c>
      <c r="G2" s="22">
        <f t="shared" ref="G2:G40" si="0">C2+D2+E2+F2</f>
        <v>8631000</v>
      </c>
      <c r="H2" s="22">
        <f t="shared" ref="H2:H40" si="1">(B2 + stillbirth*B2/(1000-stillbirth))/(1-abortion)</f>
        <v>665817.71257810376</v>
      </c>
      <c r="I2" s="22">
        <f>G2-H2</f>
        <v>7965182.2874218961</v>
      </c>
    </row>
    <row r="3" spans="1:9" ht="15.75" customHeight="1">
      <c r="A3" s="92">
        <f t="shared" ref="A3:A40" si="2">IF($A$2+ROW(A3)-2&lt;=end_year,A2+1,"")</f>
        <v>2021</v>
      </c>
      <c r="B3" s="74">
        <v>560336</v>
      </c>
      <c r="C3" s="75">
        <v>1570000</v>
      </c>
      <c r="D3" s="75">
        <v>2965000</v>
      </c>
      <c r="E3" s="75">
        <v>2410000</v>
      </c>
      <c r="F3" s="75">
        <v>1810000</v>
      </c>
      <c r="G3" s="22">
        <f t="shared" si="0"/>
        <v>8755000</v>
      </c>
      <c r="H3" s="22">
        <f t="shared" si="1"/>
        <v>656137.29402617353</v>
      </c>
      <c r="I3" s="22">
        <f t="shared" ref="I3:I15" si="3">G3-H3</f>
        <v>8098862.7059738263</v>
      </c>
    </row>
    <row r="4" spans="1:9" ht="15.75" customHeight="1">
      <c r="A4" s="92">
        <f t="shared" si="2"/>
        <v>2022</v>
      </c>
      <c r="B4" s="74" t="e">
        <v>#N/A</v>
      </c>
      <c r="C4" s="75">
        <v>1554000</v>
      </c>
      <c r="D4" s="75">
        <v>2996000</v>
      </c>
      <c r="E4" s="75">
        <v>2465000</v>
      </c>
      <c r="F4" s="75">
        <v>1866000</v>
      </c>
      <c r="G4" s="22">
        <f t="shared" si="0"/>
        <v>8881000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557437.29599999997</v>
      </c>
      <c r="C5" s="75">
        <v>1535000</v>
      </c>
      <c r="D5" s="75">
        <v>3019000</v>
      </c>
      <c r="E5" s="75">
        <v>2520000</v>
      </c>
      <c r="F5" s="75">
        <v>1923000</v>
      </c>
      <c r="G5" s="22">
        <f t="shared" si="0"/>
        <v>8997000</v>
      </c>
      <c r="H5" s="22">
        <f t="shared" si="1"/>
        <v>652742.99525054102</v>
      </c>
      <c r="I5" s="22">
        <f t="shared" si="3"/>
        <v>8344257.0047494592</v>
      </c>
    </row>
    <row r="6" spans="1:9" ht="15.75" customHeight="1">
      <c r="A6" s="92" t="str">
        <f t="shared" si="2"/>
        <v/>
      </c>
      <c r="B6" s="74">
        <v>553056.7350000001</v>
      </c>
      <c r="C6" s="75">
        <v>1512000</v>
      </c>
      <c r="D6" s="75">
        <v>3032000</v>
      </c>
      <c r="E6" s="75">
        <v>2575000</v>
      </c>
      <c r="F6" s="75">
        <v>1980000</v>
      </c>
      <c r="G6" s="22">
        <f t="shared" si="0"/>
        <v>9099000</v>
      </c>
      <c r="H6" s="22">
        <f t="shared" si="1"/>
        <v>647613.48466964578</v>
      </c>
      <c r="I6" s="22">
        <f t="shared" si="3"/>
        <v>8451386.5153303538</v>
      </c>
    </row>
    <row r="7" spans="1:9" ht="15.75" customHeight="1">
      <c r="A7" s="92" t="str">
        <f t="shared" si="2"/>
        <v/>
      </c>
      <c r="B7" s="74">
        <v>548346.10400000005</v>
      </c>
      <c r="C7" s="75">
        <v>1484000</v>
      </c>
      <c r="D7" s="75">
        <v>3031000</v>
      </c>
      <c r="E7" s="75">
        <v>2627000</v>
      </c>
      <c r="F7" s="75">
        <v>2036000</v>
      </c>
      <c r="G7" s="22">
        <f t="shared" si="0"/>
        <v>9178000</v>
      </c>
      <c r="H7" s="22">
        <f t="shared" si="1"/>
        <v>642097.47163907869</v>
      </c>
      <c r="I7" s="22">
        <f t="shared" si="3"/>
        <v>8535902.5283609219</v>
      </c>
    </row>
    <row r="8" spans="1:9" ht="15.75" customHeight="1">
      <c r="A8" s="92" t="str">
        <f t="shared" si="2"/>
        <v/>
      </c>
      <c r="B8" s="74">
        <v>541440.38080000004</v>
      </c>
      <c r="C8" s="75">
        <v>1448000</v>
      </c>
      <c r="D8" s="75">
        <v>3032000</v>
      </c>
      <c r="E8" s="75">
        <v>2682000</v>
      </c>
      <c r="F8" s="75">
        <v>2091000</v>
      </c>
      <c r="G8" s="22">
        <f t="shared" si="0"/>
        <v>9253000</v>
      </c>
      <c r="H8" s="22">
        <f t="shared" si="1"/>
        <v>634011.06895614951</v>
      </c>
      <c r="I8" s="22">
        <f t="shared" si="3"/>
        <v>8618988.9310438503</v>
      </c>
    </row>
    <row r="9" spans="1:9" ht="15.75" customHeight="1">
      <c r="A9" s="92" t="str">
        <f t="shared" si="2"/>
        <v/>
      </c>
      <c r="B9" s="74">
        <v>534171.14400000009</v>
      </c>
      <c r="C9" s="75">
        <v>1406000</v>
      </c>
      <c r="D9" s="75">
        <v>3022000</v>
      </c>
      <c r="E9" s="75">
        <v>2733000</v>
      </c>
      <c r="F9" s="75">
        <v>2148000</v>
      </c>
      <c r="G9" s="22">
        <f t="shared" si="0"/>
        <v>9309000</v>
      </c>
      <c r="H9" s="22">
        <f t="shared" si="1"/>
        <v>625499.00233257457</v>
      </c>
      <c r="I9" s="22">
        <f t="shared" si="3"/>
        <v>8683500.9976674262</v>
      </c>
    </row>
    <row r="10" spans="1:9" ht="15.75" customHeight="1">
      <c r="A10" s="92" t="str">
        <f t="shared" si="2"/>
        <v/>
      </c>
      <c r="B10" s="74">
        <v>526548.40520000015</v>
      </c>
      <c r="C10" s="75">
        <v>1362000</v>
      </c>
      <c r="D10" s="75">
        <v>3000000</v>
      </c>
      <c r="E10" s="75">
        <v>2781000</v>
      </c>
      <c r="F10" s="75">
        <v>2202000</v>
      </c>
      <c r="G10" s="22">
        <f t="shared" si="0"/>
        <v>9345000</v>
      </c>
      <c r="H10" s="22">
        <f t="shared" si="1"/>
        <v>616572.99506318581</v>
      </c>
      <c r="I10" s="22">
        <f t="shared" si="3"/>
        <v>8728427.0049368143</v>
      </c>
    </row>
    <row r="11" spans="1:9" ht="15.75" customHeight="1">
      <c r="A11" s="92" t="str">
        <f t="shared" si="2"/>
        <v/>
      </c>
      <c r="B11" s="74">
        <v>518550.67040000012</v>
      </c>
      <c r="C11" s="75">
        <v>1326000</v>
      </c>
      <c r="D11" s="75">
        <v>2966000</v>
      </c>
      <c r="E11" s="75">
        <v>2827000</v>
      </c>
      <c r="F11" s="75">
        <v>2257000</v>
      </c>
      <c r="G11" s="22">
        <f t="shared" si="0"/>
        <v>9376000</v>
      </c>
      <c r="H11" s="22">
        <f t="shared" si="1"/>
        <v>607207.87829394208</v>
      </c>
      <c r="I11" s="22">
        <f t="shared" si="3"/>
        <v>8768792.1217060573</v>
      </c>
    </row>
    <row r="12" spans="1:9" ht="15.75" customHeight="1">
      <c r="A12" s="92" t="str">
        <f t="shared" si="2"/>
        <v/>
      </c>
      <c r="B12" s="74">
        <v>510190.17599999998</v>
      </c>
      <c r="C12" s="75">
        <v>1303000</v>
      </c>
      <c r="D12" s="75">
        <v>2921000</v>
      </c>
      <c r="E12" s="75">
        <v>2865000</v>
      </c>
      <c r="F12" s="75">
        <v>2312000</v>
      </c>
      <c r="G12" s="22">
        <f t="shared" si="0"/>
        <v>9401000</v>
      </c>
      <c r="H12" s="22">
        <f t="shared" si="1"/>
        <v>597417.98049630434</v>
      </c>
      <c r="I12" s="22">
        <f t="shared" si="3"/>
        <v>8803582.0195036959</v>
      </c>
    </row>
    <row r="13" spans="1:9" ht="15.75" customHeight="1">
      <c r="A13" s="92" t="str">
        <f t="shared" si="2"/>
        <v/>
      </c>
      <c r="B13" s="74">
        <v>1596000</v>
      </c>
      <c r="C13" s="75">
        <v>2898000</v>
      </c>
      <c r="D13" s="75">
        <v>2304000</v>
      </c>
      <c r="E13" s="75">
        <v>1701000</v>
      </c>
      <c r="F13" s="75">
        <v>2.8383852749999997E-2</v>
      </c>
      <c r="G13" s="22">
        <f t="shared" si="0"/>
        <v>6903000.0283838529</v>
      </c>
      <c r="H13" s="22">
        <f t="shared" si="1"/>
        <v>1868869.9659949976</v>
      </c>
      <c r="I13" s="22">
        <f t="shared" si="3"/>
        <v>5034130.062388855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2.8383852749999997E-2</v>
      </c>
    </row>
    <row r="4" spans="1:8" ht="15.75" customHeight="1">
      <c r="B4" s="24" t="s">
        <v>7</v>
      </c>
      <c r="C4" s="76">
        <v>7.7517907380783291E-2</v>
      </c>
    </row>
    <row r="5" spans="1:8" ht="15.75" customHeight="1">
      <c r="B5" s="24" t="s">
        <v>8</v>
      </c>
      <c r="C5" s="76">
        <v>0.23120180143759289</v>
      </c>
    </row>
    <row r="6" spans="1:8" ht="15.75" customHeight="1">
      <c r="B6" s="24" t="s">
        <v>10</v>
      </c>
      <c r="C6" s="76">
        <v>0.19914374528801801</v>
      </c>
    </row>
    <row r="7" spans="1:8" ht="15.75" customHeight="1">
      <c r="B7" s="24" t="s">
        <v>13</v>
      </c>
      <c r="C7" s="76">
        <v>8.8740989831554346E-2</v>
      </c>
    </row>
    <row r="8" spans="1:8" ht="15.75" customHeight="1">
      <c r="B8" s="24" t="s">
        <v>14</v>
      </c>
      <c r="C8" s="76">
        <v>3.1286430944235701E-2</v>
      </c>
    </row>
    <row r="9" spans="1:8" ht="15.75" customHeight="1">
      <c r="B9" s="24" t="s">
        <v>27</v>
      </c>
      <c r="C9" s="76">
        <v>5.698985519551672E-2</v>
      </c>
    </row>
    <row r="10" spans="1:8" ht="15.75" customHeight="1">
      <c r="B10" s="24" t="s">
        <v>15</v>
      </c>
      <c r="C10" s="76">
        <v>0.28673541717229911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9.0014091150979997E-2</v>
      </c>
      <c r="D14" s="76">
        <v>9.0014091150979997E-2</v>
      </c>
      <c r="E14" s="76">
        <v>7.9344229653329795E-2</v>
      </c>
      <c r="F14" s="76">
        <v>7.9344229653329795E-2</v>
      </c>
    </row>
    <row r="15" spans="1:8" ht="15.75" customHeight="1">
      <c r="B15" s="24" t="s">
        <v>16</v>
      </c>
      <c r="C15" s="76">
        <v>0.40821408130125297</v>
      </c>
      <c r="D15" s="76">
        <v>0.40821408130125297</v>
      </c>
      <c r="E15" s="76">
        <v>0.19224594296572298</v>
      </c>
      <c r="F15" s="76">
        <v>0.19224594296572298</v>
      </c>
    </row>
    <row r="16" spans="1:8" ht="15.75" customHeight="1">
      <c r="B16" s="24" t="s">
        <v>17</v>
      </c>
      <c r="C16" s="76">
        <v>2.9797671208624602E-2</v>
      </c>
      <c r="D16" s="76">
        <v>2.9797671208624602E-2</v>
      </c>
      <c r="E16" s="76">
        <v>2.55216629317708E-2</v>
      </c>
      <c r="F16" s="76">
        <v>2.55216629317708E-2</v>
      </c>
    </row>
    <row r="17" spans="1:8" ht="15.75" customHeight="1">
      <c r="B17" s="24" t="s">
        <v>18</v>
      </c>
      <c r="C17" s="76">
        <v>8.6163822320566002E-3</v>
      </c>
      <c r="D17" s="76">
        <v>8.6163822320566002E-3</v>
      </c>
      <c r="E17" s="76">
        <v>2.99022765672914E-2</v>
      </c>
      <c r="F17" s="76">
        <v>2.99022765672914E-2</v>
      </c>
    </row>
    <row r="18" spans="1:8" ht="15.75" customHeight="1">
      <c r="B18" s="24" t="s">
        <v>19</v>
      </c>
      <c r="C18" s="76">
        <v>3.3930527384386802E-2</v>
      </c>
      <c r="D18" s="76">
        <v>3.3930527384386802E-2</v>
      </c>
      <c r="E18" s="76">
        <v>4.4692671380569503E-2</v>
      </c>
      <c r="F18" s="76">
        <v>4.4692671380569503E-2</v>
      </c>
    </row>
    <row r="19" spans="1:8" ht="15.75" customHeight="1">
      <c r="B19" s="24" t="s">
        <v>20</v>
      </c>
      <c r="C19" s="76">
        <v>5.5938049250942E-2</v>
      </c>
      <c r="D19" s="76">
        <v>5.5938049250942E-2</v>
      </c>
      <c r="E19" s="76">
        <v>8.0351176077597605E-2</v>
      </c>
      <c r="F19" s="76">
        <v>8.0351176077597605E-2</v>
      </c>
    </row>
    <row r="20" spans="1:8" ht="15.75" customHeight="1">
      <c r="B20" s="24" t="s">
        <v>21</v>
      </c>
      <c r="C20" s="76">
        <v>9.5002976516312693E-3</v>
      </c>
      <c r="D20" s="76">
        <v>9.5002976516312693E-3</v>
      </c>
      <c r="E20" s="76">
        <v>7.2115667115757107E-2</v>
      </c>
      <c r="F20" s="76">
        <v>7.2115667115757107E-2</v>
      </c>
    </row>
    <row r="21" spans="1:8" ht="15.75" customHeight="1">
      <c r="B21" s="24" t="s">
        <v>22</v>
      </c>
      <c r="C21" s="76">
        <v>4.9887208441599898E-2</v>
      </c>
      <c r="D21" s="76">
        <v>4.9887208441599898E-2</v>
      </c>
      <c r="E21" s="76">
        <v>0.14672369181567099</v>
      </c>
      <c r="F21" s="76">
        <v>0.14672369181567099</v>
      </c>
    </row>
    <row r="22" spans="1:8" ht="15.75" customHeight="1">
      <c r="B22" s="24" t="s">
        <v>23</v>
      </c>
      <c r="C22" s="76">
        <v>0.31410169137852573</v>
      </c>
      <c r="D22" s="76">
        <v>0.31410169137852573</v>
      </c>
      <c r="E22" s="76">
        <v>0.32910268149228983</v>
      </c>
      <c r="F22" s="76">
        <v>0.32910268149228983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4.7500000000000001E-2</v>
      </c>
    </row>
    <row r="27" spans="1:8" ht="15.75" customHeight="1">
      <c r="B27" s="24" t="s">
        <v>39</v>
      </c>
      <c r="C27" s="76">
        <v>1.04E-2</v>
      </c>
    </row>
    <row r="28" spans="1:8" ht="15.75" customHeight="1">
      <c r="B28" s="24" t="s">
        <v>40</v>
      </c>
      <c r="C28" s="76">
        <v>0.1729</v>
      </c>
    </row>
    <row r="29" spans="1:8" ht="15.75" customHeight="1">
      <c r="B29" s="24" t="s">
        <v>41</v>
      </c>
      <c r="C29" s="76">
        <v>0.15789999999999998</v>
      </c>
    </row>
    <row r="30" spans="1:8" ht="15.75" customHeight="1">
      <c r="B30" s="24" t="s">
        <v>42</v>
      </c>
      <c r="C30" s="76">
        <v>5.5800000000000002E-2</v>
      </c>
    </row>
    <row r="31" spans="1:8" ht="15.75" customHeight="1">
      <c r="B31" s="24" t="s">
        <v>43</v>
      </c>
      <c r="C31" s="76">
        <v>6.3200000000000006E-2</v>
      </c>
    </row>
    <row r="32" spans="1:8" ht="15.75" customHeight="1">
      <c r="B32" s="24" t="s">
        <v>44</v>
      </c>
      <c r="C32" s="76">
        <v>1.01E-2</v>
      </c>
    </row>
    <row r="33" spans="2:3" ht="15.75" customHeight="1">
      <c r="B33" s="24" t="s">
        <v>45</v>
      </c>
      <c r="C33" s="76">
        <v>0.16550000000000001</v>
      </c>
    </row>
    <row r="34" spans="2:3" ht="15.75" customHeight="1">
      <c r="B34" s="24" t="s">
        <v>46</v>
      </c>
      <c r="C34" s="76">
        <v>0.31670000000223519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0.70345288445867293</v>
      </c>
      <c r="D2" s="77">
        <v>0.67720000000000002</v>
      </c>
      <c r="E2" s="77">
        <v>0.56279999999999997</v>
      </c>
      <c r="F2" s="77">
        <v>0.2858</v>
      </c>
      <c r="G2" s="77">
        <v>0.24940000000000001</v>
      </c>
    </row>
    <row r="3" spans="1:15" ht="15.75" customHeight="1">
      <c r="A3" s="5"/>
      <c r="B3" s="11" t="s">
        <v>118</v>
      </c>
      <c r="C3" s="77">
        <v>0.19899999999999998</v>
      </c>
      <c r="D3" s="77">
        <v>0.19899999999999998</v>
      </c>
      <c r="E3" s="77">
        <v>0.24379999999999999</v>
      </c>
      <c r="F3" s="77">
        <v>0.32329999999999998</v>
      </c>
      <c r="G3" s="77">
        <v>0.3342</v>
      </c>
    </row>
    <row r="4" spans="1:15" ht="15.75" customHeight="1">
      <c r="A4" s="5"/>
      <c r="B4" s="11" t="s">
        <v>116</v>
      </c>
      <c r="C4" s="78">
        <v>6.5599999999999992E-2</v>
      </c>
      <c r="D4" s="78">
        <v>6.5700000000000008E-2</v>
      </c>
      <c r="E4" s="78">
        <v>0.16079999999999997</v>
      </c>
      <c r="F4" s="78">
        <v>0.28649999999999998</v>
      </c>
      <c r="G4" s="78">
        <v>0.27010000000000001</v>
      </c>
    </row>
    <row r="5" spans="1:15" ht="15.75" customHeight="1">
      <c r="A5" s="5"/>
      <c r="B5" s="11" t="s">
        <v>119</v>
      </c>
      <c r="C5" s="78">
        <v>5.8099999999999999E-2</v>
      </c>
      <c r="D5" s="78">
        <v>5.8099999999999999E-2</v>
      </c>
      <c r="E5" s="78">
        <v>3.2599999999999997E-2</v>
      </c>
      <c r="F5" s="78">
        <v>0.10439999999999999</v>
      </c>
      <c r="G5" s="78">
        <v>0.1464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0.69379999999999997</v>
      </c>
      <c r="D8" s="77">
        <v>0.69379999999999997</v>
      </c>
      <c r="E8" s="77">
        <v>0.62350000000000005</v>
      </c>
      <c r="F8" s="77">
        <v>0.55490000000000006</v>
      </c>
      <c r="G8" s="77">
        <v>0.64019999999999999</v>
      </c>
    </row>
    <row r="9" spans="1:15" ht="15.75" customHeight="1">
      <c r="B9" s="7" t="s">
        <v>121</v>
      </c>
      <c r="C9" s="77">
        <v>0.1537</v>
      </c>
      <c r="D9" s="77">
        <v>0.1537</v>
      </c>
      <c r="E9" s="77">
        <v>0.1898</v>
      </c>
      <c r="F9" s="77">
        <v>0.32079999999999997</v>
      </c>
      <c r="G9" s="77">
        <v>0.29430000000000001</v>
      </c>
    </row>
    <row r="10" spans="1:15" ht="15.75" customHeight="1">
      <c r="B10" s="7" t="s">
        <v>122</v>
      </c>
      <c r="C10" s="78">
        <v>9.6500000000000002E-2</v>
      </c>
      <c r="D10" s="78">
        <v>9.6500000000000002E-2</v>
      </c>
      <c r="E10" s="78">
        <v>0.15720000000000001</v>
      </c>
      <c r="F10" s="78">
        <v>0.1026</v>
      </c>
      <c r="G10" s="78">
        <v>5.5500000000000001E-2</v>
      </c>
    </row>
    <row r="11" spans="1:15" ht="15.75" customHeight="1">
      <c r="B11" s="7" t="s">
        <v>123</v>
      </c>
      <c r="C11" s="78">
        <v>5.5899999999999998E-2</v>
      </c>
      <c r="D11" s="78">
        <v>5.5899999999999998E-2</v>
      </c>
      <c r="E11" s="78">
        <v>2.9500000000000002E-2</v>
      </c>
      <c r="F11" s="78">
        <v>2.1700000000000001E-2</v>
      </c>
      <c r="G11" s="78">
        <v>9.9472999999999992E-3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0.82497910925000018</v>
      </c>
      <c r="D14" s="79">
        <v>0.80162762072500005</v>
      </c>
      <c r="E14" s="79">
        <v>0.80162762072500005</v>
      </c>
      <c r="F14" s="79">
        <v>0.47399307269000007</v>
      </c>
      <c r="G14" s="79">
        <v>0.47399307269000007</v>
      </c>
      <c r="H14" s="80">
        <v>0.49524999999999997</v>
      </c>
      <c r="I14" s="80">
        <v>0.49524999999999997</v>
      </c>
      <c r="J14" s="80">
        <v>0.49524999999999997</v>
      </c>
      <c r="K14" s="80">
        <v>0.49524999999999997</v>
      </c>
      <c r="L14" s="80">
        <v>0.35831000000000002</v>
      </c>
      <c r="M14" s="80">
        <v>0.35831000000000002</v>
      </c>
      <c r="N14" s="80">
        <v>0.35831000000000002</v>
      </c>
      <c r="O14" s="80">
        <v>0.35831000000000002</v>
      </c>
    </row>
    <row r="15" spans="1:15" ht="15.75" customHeight="1">
      <c r="B15" s="16" t="s">
        <v>68</v>
      </c>
      <c r="C15" s="77">
        <f t="shared" ref="C15:O15" si="0">iron_deficiency_anaemia*C14</f>
        <v>0.42251225218715377</v>
      </c>
      <c r="D15" s="77">
        <f t="shared" si="0"/>
        <v>0.41055280994431947</v>
      </c>
      <c r="E15" s="77">
        <f t="shared" si="0"/>
        <v>0.41055280994431947</v>
      </c>
      <c r="F15" s="77">
        <f t="shared" si="0"/>
        <v>0.24275509333251785</v>
      </c>
      <c r="G15" s="77">
        <f t="shared" si="0"/>
        <v>0.24275509333251785</v>
      </c>
      <c r="H15" s="77">
        <f t="shared" si="0"/>
        <v>0.25364180807671505</v>
      </c>
      <c r="I15" s="77">
        <f t="shared" si="0"/>
        <v>0.25364180807671505</v>
      </c>
      <c r="J15" s="77">
        <f t="shared" si="0"/>
        <v>0.25364180807671505</v>
      </c>
      <c r="K15" s="77">
        <f t="shared" si="0"/>
        <v>0.25364180807671505</v>
      </c>
      <c r="L15" s="77">
        <f t="shared" si="0"/>
        <v>0.18350811964052052</v>
      </c>
      <c r="M15" s="77">
        <f t="shared" si="0"/>
        <v>0.18350811964052052</v>
      </c>
      <c r="N15" s="77">
        <f t="shared" si="0"/>
        <v>0.18350811964052052</v>
      </c>
      <c r="O15" s="77">
        <f t="shared" si="0"/>
        <v>0.18350811964052052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0.77839999999999998</v>
      </c>
      <c r="D2" s="78">
        <v>0.59470000000000001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0.1278</v>
      </c>
      <c r="D3" s="78">
        <v>0.1273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6.6500000000000004E-2</v>
      </c>
      <c r="D4" s="78">
        <v>0.26819999999999999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2.7299999999999991E-2</v>
      </c>
      <c r="D5" s="77">
        <f t="shared" ref="D5:G5" si="0">1-SUM(D2:D4)</f>
        <v>9.8000000000000309E-3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0.35799999999999998</v>
      </c>
      <c r="D2" s="28">
        <v>0.36130000000000001</v>
      </c>
      <c r="E2" s="28">
        <v>0.3619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9.8600000000000007E-2</v>
      </c>
      <c r="D4" s="28">
        <v>9.8099999999999993E-2</v>
      </c>
      <c r="E4" s="28">
        <v>9.8099999999999993E-2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0.80162762072500005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0.49524999999999997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0.35831000000000002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0.59470000000000001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26.390999999999998</v>
      </c>
      <c r="D13" s="28">
        <v>25.013999999999999</v>
      </c>
      <c r="E13" s="28">
        <v>23.765999999999998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2.58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36.247519202644909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44.666649407350029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72.912225149850372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1.2236498995725122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1.110487833498478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1.110487833498478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1.110487833498478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1.110487833498478</v>
      </c>
      <c r="E13" s="86" t="s">
        <v>201</v>
      </c>
    </row>
    <row r="14" spans="1:5" ht="15.75" customHeight="1">
      <c r="A14" s="11" t="s">
        <v>189</v>
      </c>
      <c r="B14" s="85">
        <v>0.34100000000000003</v>
      </c>
      <c r="C14" s="85">
        <v>0.95</v>
      </c>
      <c r="D14" s="86">
        <v>14.191711276470395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14.191711276470395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0.24799655875910087</v>
      </c>
      <c r="E17" s="86" t="s">
        <v>201</v>
      </c>
    </row>
    <row r="18" spans="1:5" ht="15.75" customHeight="1">
      <c r="A18" s="53" t="s">
        <v>175</v>
      </c>
      <c r="B18" s="85">
        <v>0.48899999999999999</v>
      </c>
      <c r="C18" s="85">
        <v>0.95</v>
      </c>
      <c r="D18" s="86">
        <v>1.7836697530248278</v>
      </c>
      <c r="E18" s="86" t="s">
        <v>201</v>
      </c>
    </row>
    <row r="19" spans="1:5" ht="15.75" customHeight="1">
      <c r="A19" s="53" t="s">
        <v>174</v>
      </c>
      <c r="B19" s="85">
        <v>0.26800000000000002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9.0332234091804775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24.192824415868042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4.6601859455142458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20.497190899555484</v>
      </c>
      <c r="E24" s="86" t="s">
        <v>201</v>
      </c>
    </row>
    <row r="25" spans="1:5" ht="15.75" customHeight="1">
      <c r="A25" s="53" t="s">
        <v>87</v>
      </c>
      <c r="B25" s="85">
        <v>0.41600000000000004</v>
      </c>
      <c r="C25" s="85">
        <v>0.95</v>
      </c>
      <c r="D25" s="86">
        <v>20.50084196930549</v>
      </c>
      <c r="E25" s="86" t="s">
        <v>201</v>
      </c>
    </row>
    <row r="26" spans="1:5" ht="15.75" customHeight="1">
      <c r="A26" s="53" t="s">
        <v>137</v>
      </c>
      <c r="B26" s="85">
        <v>0.70900000000000007</v>
      </c>
      <c r="C26" s="85">
        <v>0.95</v>
      </c>
      <c r="D26" s="86">
        <v>4.6428641054924311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3.9975934807066564</v>
      </c>
      <c r="E27" s="86" t="s">
        <v>201</v>
      </c>
    </row>
    <row r="28" spans="1:5" ht="15.75" customHeight="1">
      <c r="A28" s="53" t="s">
        <v>84</v>
      </c>
      <c r="B28" s="85">
        <v>0.37</v>
      </c>
      <c r="C28" s="85">
        <v>0.95</v>
      </c>
      <c r="D28" s="86">
        <v>0.64014910694610749</v>
      </c>
      <c r="E28" s="86" t="s">
        <v>201</v>
      </c>
    </row>
    <row r="29" spans="1:5" ht="15.75" customHeight="1">
      <c r="A29" s="53" t="s">
        <v>58</v>
      </c>
      <c r="B29" s="85">
        <v>0.26800000000000002</v>
      </c>
      <c r="C29" s="85">
        <v>0.95</v>
      </c>
      <c r="D29" s="86">
        <v>63.934132245620098</v>
      </c>
      <c r="E29" s="86" t="s">
        <v>201</v>
      </c>
    </row>
    <row r="30" spans="1:5" ht="15.75" customHeight="1">
      <c r="A30" s="53" t="s">
        <v>67</v>
      </c>
      <c r="B30" s="85">
        <v>5.0000000000000001E-3</v>
      </c>
      <c r="C30" s="85">
        <v>0.95</v>
      </c>
      <c r="D30" s="86">
        <v>181.77876241028352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181.77876241028352</v>
      </c>
      <c r="E31" s="86" t="s">
        <v>201</v>
      </c>
    </row>
    <row r="32" spans="1:5" ht="15.75" customHeight="1">
      <c r="A32" s="53" t="s">
        <v>28</v>
      </c>
      <c r="B32" s="85">
        <v>0.46700000000000003</v>
      </c>
      <c r="C32" s="85">
        <v>0.95</v>
      </c>
      <c r="D32" s="86">
        <v>0.47412256872115971</v>
      </c>
      <c r="E32" s="86" t="s">
        <v>201</v>
      </c>
    </row>
    <row r="33" spans="1:6" ht="15.75" customHeight="1">
      <c r="A33" s="53" t="s">
        <v>83</v>
      </c>
      <c r="B33" s="85">
        <v>0.72499999999999998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0.44400000000000001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0.621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0.88800000000000001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0.42100000000000004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0.17600000000000002</v>
      </c>
      <c r="C38" s="85">
        <v>0.95</v>
      </c>
      <c r="D38" s="86">
        <v>1.9147302101118107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0.49808085341524744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2020-08-28T07:42:28Z</dcterms:modified>
</cp:coreProperties>
</file>