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50881061-248A-4156-8F3E-EE04A25C6262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H24" i="2"/>
  <c r="I24" i="2" s="1"/>
  <c r="G24" i="2"/>
  <c r="H23" i="2"/>
  <c r="G23" i="2"/>
  <c r="I23" i="2" s="1"/>
  <c r="H22" i="2"/>
  <c r="I22" i="2" s="1"/>
  <c r="G22" i="2"/>
  <c r="H21" i="2"/>
  <c r="G21" i="2"/>
  <c r="I21" i="2" s="1"/>
  <c r="H20" i="2"/>
  <c r="I20" i="2" s="1"/>
  <c r="G20" i="2"/>
  <c r="H19" i="2"/>
  <c r="G19" i="2"/>
  <c r="I19" i="2" s="1"/>
  <c r="H18" i="2"/>
  <c r="I18" i="2" s="1"/>
  <c r="G18" i="2"/>
  <c r="H17" i="2"/>
  <c r="G17" i="2"/>
  <c r="I17" i="2" s="1"/>
  <c r="H16" i="2"/>
  <c r="I16" i="2" s="1"/>
  <c r="G16" i="2"/>
  <c r="H15" i="2"/>
  <c r="G15" i="2"/>
  <c r="I15" i="2" s="1"/>
  <c r="H14" i="2"/>
  <c r="I14" i="2" s="1"/>
  <c r="G14" i="2"/>
  <c r="H13" i="2"/>
  <c r="G13" i="2"/>
  <c r="I13" i="2" s="1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40" i="2" s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<sst xmlns="http://schemas.openxmlformats.org/spreadsheetml/2006/main" count="2089" uniqueCount="342">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</sst>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128688.2734375</v>
      </c>
    </row>
    <row r="8" spans="1:3" ht="15" customHeight="1" x14ac:dyDescent="0.25">
      <c r="B8" s="5" t="s">
        <v>8</v>
      </c>
      <c r="C8" s="44">
        <v>1E-3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0.91188728330000002</v>
      </c>
    </row>
    <row r="11" spans="1:3" ht="15" customHeight="1" x14ac:dyDescent="0.25">
      <c r="B11" s="5" t="s">
        <v>11</v>
      </c>
      <c r="C11" s="44">
        <v>0.84200000000000008</v>
      </c>
    </row>
    <row r="12" spans="1:3" ht="15" customHeight="1" x14ac:dyDescent="0.25">
      <c r="B12" s="5" t="s">
        <v>12</v>
      </c>
      <c r="C12" s="44">
        <v>0.87</v>
      </c>
    </row>
    <row r="13" spans="1:3" ht="15" customHeight="1" x14ac:dyDescent="0.25">
      <c r="B13" s="5" t="s">
        <v>13</v>
      </c>
      <c r="C13" s="44">
        <v>0.78099999999999992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3.7400000000000003E-2</v>
      </c>
    </row>
    <row r="24" spans="1:3" ht="15" customHeight="1" x14ac:dyDescent="0.25">
      <c r="B24" s="15" t="s">
        <v>22</v>
      </c>
      <c r="C24" s="45">
        <v>0.53110000000000002</v>
      </c>
    </row>
    <row r="25" spans="1:3" ht="15" customHeight="1" x14ac:dyDescent="0.25">
      <c r="B25" s="15" t="s">
        <v>23</v>
      </c>
      <c r="C25" s="45">
        <v>0.41370000000000001</v>
      </c>
    </row>
    <row r="26" spans="1:3" ht="15" customHeight="1" x14ac:dyDescent="0.25">
      <c r="B26" s="15" t="s">
        <v>24</v>
      </c>
      <c r="C26" s="45">
        <v>1.78E-2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100">
        <v>6.5910586704521698E-2</v>
      </c>
    </row>
    <row r="31" spans="1:3" ht="14.25" customHeight="1" x14ac:dyDescent="0.25">
      <c r="B31" s="25" t="s">
        <v>28</v>
      </c>
      <c r="C31" s="100">
        <v>9.262041217609189E-2</v>
      </c>
    </row>
    <row r="32" spans="1:3" ht="14.25" customHeight="1" x14ac:dyDescent="0.25">
      <c r="B32" s="25" t="s">
        <v>29</v>
      </c>
      <c r="C32" s="100">
        <v>0.48471366586554798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4.2178857906418203</v>
      </c>
    </row>
    <row r="38" spans="1:5" ht="15" customHeight="1" x14ac:dyDescent="0.25">
      <c r="B38" s="11" t="s">
        <v>34</v>
      </c>
      <c r="C38" s="43">
        <v>5.0581398742528503</v>
      </c>
      <c r="D38" s="12"/>
      <c r="E38" s="13"/>
    </row>
    <row r="39" spans="1:5" ht="15" customHeight="1" x14ac:dyDescent="0.25">
      <c r="B39" s="11" t="s">
        <v>35</v>
      </c>
      <c r="C39" s="43">
        <v>5.8536895559859703</v>
      </c>
      <c r="D39" s="12"/>
      <c r="E39" s="12"/>
    </row>
    <row r="40" spans="1:5" ht="15" customHeight="1" x14ac:dyDescent="0.25">
      <c r="B40" s="11" t="s">
        <v>36</v>
      </c>
      <c r="C40" s="99">
        <v>0.1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2.7619540140000001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2.11395375E-2</v>
      </c>
      <c r="D45" s="12"/>
    </row>
    <row r="46" spans="1:5" ht="15.75" customHeight="1" x14ac:dyDescent="0.25">
      <c r="B46" s="11" t="s">
        <v>41</v>
      </c>
      <c r="C46" s="45">
        <v>7.4799499999999991E-2</v>
      </c>
      <c r="D46" s="12"/>
    </row>
    <row r="47" spans="1:5" ht="15.75" customHeight="1" x14ac:dyDescent="0.25">
      <c r="B47" s="11" t="s">
        <v>42</v>
      </c>
      <c r="C47" s="45">
        <v>0.13228186250000001</v>
      </c>
      <c r="D47" s="12"/>
      <c r="E47" s="13"/>
    </row>
    <row r="48" spans="1:5" ht="15" customHeight="1" x14ac:dyDescent="0.25">
      <c r="B48" s="11" t="s">
        <v>43</v>
      </c>
      <c r="C48" s="46">
        <v>0.77177909999999994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2.8</v>
      </c>
      <c r="D51" s="12"/>
    </row>
    <row r="52" spans="1:4" ht="15" customHeight="1" x14ac:dyDescent="0.25">
      <c r="B52" s="11" t="s">
        <v>46</v>
      </c>
      <c r="C52" s="48">
        <v>2.8</v>
      </c>
    </row>
    <row r="53" spans="1:4" ht="15.75" customHeight="1" x14ac:dyDescent="0.25">
      <c r="B53" s="11" t="s">
        <v>47</v>
      </c>
      <c r="C53" s="48">
        <v>2.8</v>
      </c>
    </row>
    <row r="54" spans="1:4" ht="15.75" customHeight="1" x14ac:dyDescent="0.25">
      <c r="B54" s="11" t="s">
        <v>48</v>
      </c>
      <c r="C54" s="48">
        <v>2.8</v>
      </c>
    </row>
    <row r="55" spans="1:4" ht="15.75" customHeight="1" x14ac:dyDescent="0.25">
      <c r="B55" s="11" t="s">
        <v>49</v>
      </c>
      <c r="C55" s="48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1.6428571428571431E-2</v>
      </c>
    </row>
    <row r="59" spans="1:4" ht="15.75" customHeight="1" x14ac:dyDescent="0.25">
      <c r="B59" s="11" t="s">
        <v>52</v>
      </c>
      <c r="C59" s="44">
        <v>0.61777399999999993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3.3956865999999898E-2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0.65279003993846496</v>
      </c>
      <c r="C2" s="57">
        <v>0.95</v>
      </c>
      <c r="D2" s="58">
        <v>62.267198925302971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39.975115048626499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480.84054251477158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7.5977498652403259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0.20228460926449299</v>
      </c>
      <c r="C10" s="57">
        <v>0.95</v>
      </c>
      <c r="D10" s="58">
        <v>13.107414492422411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0.20228460926449299</v>
      </c>
      <c r="C11" s="57">
        <v>0.95</v>
      </c>
      <c r="D11" s="58">
        <v>13.107414492422411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0.20228460926449299</v>
      </c>
      <c r="C12" s="57">
        <v>0.95</v>
      </c>
      <c r="D12" s="58">
        <v>13.107414492422411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0.20228460926449299</v>
      </c>
      <c r="C13" s="57">
        <v>0.95</v>
      </c>
      <c r="D13" s="58">
        <v>13.107414492422411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0.20228460926449299</v>
      </c>
      <c r="C14" s="57">
        <v>0.95</v>
      </c>
      <c r="D14" s="58">
        <v>13.107414492422411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0.20228460926449299</v>
      </c>
      <c r="C15" s="57">
        <v>0.95</v>
      </c>
      <c r="D15" s="58">
        <v>13.107414492422411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0.81418029231775391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</v>
      </c>
      <c r="C18" s="57">
        <v>0.95</v>
      </c>
      <c r="D18" s="58">
        <v>11.065100889871371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11.065100889871371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0.99730339999999995</v>
      </c>
      <c r="C21" s="57">
        <v>0.95</v>
      </c>
      <c r="D21" s="58">
        <v>79.90136660715082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22.669145438411171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4.3388595676177406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0.25209735614860002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0.15776935995420799</v>
      </c>
      <c r="C27" s="57">
        <v>0.95</v>
      </c>
      <c r="D27" s="58">
        <v>18.641484890005319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0.95360235308728092</v>
      </c>
      <c r="C29" s="57">
        <v>0.95</v>
      </c>
      <c r="D29" s="58">
        <v>123.32014378516121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1.7708964965206571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5.4631352399999999E-3</v>
      </c>
      <c r="C32" s="57">
        <v>0.95</v>
      </c>
      <c r="D32" s="58">
        <v>1.7579636017261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0.19614531099796301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0</v>
      </c>
      <c r="C38" s="57">
        <v>0.95</v>
      </c>
      <c r="D38" s="58">
        <v>2.7958272003703142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0.95138230866334494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2.8</v>
      </c>
      <c r="C2" s="21">
        <f>'Entradas de población-año base'!C52</f>
        <v>2.8</v>
      </c>
      <c r="D2" s="21">
        <f>'Entradas de población-año base'!C53</f>
        <v>2.8</v>
      </c>
      <c r="E2" s="21">
        <f>'Entradas de población-año base'!C54</f>
        <v>2.8</v>
      </c>
      <c r="F2" s="21">
        <f>'Entradas de población-año base'!C55</f>
        <v>2.8</v>
      </c>
    </row>
    <row r="3" spans="1:6" ht="15.75" customHeight="1" x14ac:dyDescent="0.25">
      <c r="A3" s="3" t="s">
        <v>204</v>
      </c>
      <c r="B3" s="21">
        <f>frac_mam_1month * 2.6</f>
        <v>3.9738470129668697E-2</v>
      </c>
      <c r="C3" s="21">
        <f>frac_mam_1_5months * 2.6</f>
        <v>3.9738470129668697E-2</v>
      </c>
      <c r="D3" s="21">
        <f>frac_mam_6_11months * 2.6</f>
        <v>4.3825420364737439E-2</v>
      </c>
      <c r="E3" s="21">
        <f>frac_mam_12_23months * 2.6</f>
        <v>1.5634861588478079E-2</v>
      </c>
      <c r="F3" s="21">
        <f>frac_mam_24_59months * 2.6</f>
        <v>1.5226278919726602E-2</v>
      </c>
    </row>
    <row r="4" spans="1:6" ht="15.75" customHeight="1" x14ac:dyDescent="0.25">
      <c r="A4" s="3" t="s">
        <v>205</v>
      </c>
      <c r="B4" s="21">
        <f>frac_sam_1month * 2.6</f>
        <v>0.19002916216850282</v>
      </c>
      <c r="C4" s="21">
        <f>frac_sam_1_5months * 2.6</f>
        <v>0.19002916216850282</v>
      </c>
      <c r="D4" s="21">
        <f>frac_sam_6_11months * 2.6</f>
        <v>0</v>
      </c>
      <c r="E4" s="21">
        <f>frac_sam_12_23months * 2.6</f>
        <v>1.5853948518633837E-2</v>
      </c>
      <c r="F4" s="21">
        <f>frac_sam_24_59months * 2.6</f>
        <v>3.031134195625796E-2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1E-3</v>
      </c>
      <c r="E2" s="62">
        <f>food_insecure</f>
        <v>1E-3</v>
      </c>
      <c r="F2" s="62">
        <f>food_insecure</f>
        <v>1E-3</v>
      </c>
      <c r="G2" s="62">
        <f>food_insecure</f>
        <v>1E-3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1E-3</v>
      </c>
      <c r="F5" s="62">
        <f>food_insecure</f>
        <v>1E-3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4.6000000000000006E-2</v>
      </c>
      <c r="D7" s="62">
        <f>diarrhoea_1_5mo*frac_diarrhea_severe</f>
        <v>4.6000000000000006E-2</v>
      </c>
      <c r="E7" s="62">
        <f>diarrhoea_6_11mo*frac_diarrhea_severe</f>
        <v>4.6000000000000006E-2</v>
      </c>
      <c r="F7" s="62">
        <f>diarrhoea_12_23mo*frac_diarrhea_severe</f>
        <v>4.6000000000000006E-2</v>
      </c>
      <c r="G7" s="62">
        <f>diarrhoea_24_59mo*frac_diarrhea_severe</f>
        <v>4.6000000000000006E-2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1E-3</v>
      </c>
      <c r="F8" s="62">
        <f>food_insecure</f>
        <v>1E-3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1E-3</v>
      </c>
      <c r="F9" s="62">
        <f>food_insecure</f>
        <v>1E-3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0.87</v>
      </c>
      <c r="E10" s="62">
        <f>IF(ISBLANK(comm_deliv), frac_children_health_facility,1)</f>
        <v>0.87</v>
      </c>
      <c r="F10" s="62">
        <f>IF(ISBLANK(comm_deliv), frac_children_health_facility,1)</f>
        <v>0.87</v>
      </c>
      <c r="G10" s="62">
        <f>IF(ISBLANK(comm_deliv), frac_children_health_facility,1)</f>
        <v>0.87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4.6000000000000006E-2</v>
      </c>
      <c r="D12" s="62">
        <f>diarrhoea_1_5mo*frac_diarrhea_severe</f>
        <v>4.6000000000000006E-2</v>
      </c>
      <c r="E12" s="62">
        <f>diarrhoea_6_11mo*frac_diarrhea_severe</f>
        <v>4.6000000000000006E-2</v>
      </c>
      <c r="F12" s="62">
        <f>diarrhoea_12_23mo*frac_diarrhea_severe</f>
        <v>4.6000000000000006E-2</v>
      </c>
      <c r="G12" s="62">
        <f>diarrhoea_24_59mo*frac_diarrhea_severe</f>
        <v>4.6000000000000006E-2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1E-3</v>
      </c>
      <c r="I15" s="62">
        <f>food_insecure</f>
        <v>1E-3</v>
      </c>
      <c r="J15" s="62">
        <f>food_insecure</f>
        <v>1E-3</v>
      </c>
      <c r="K15" s="62">
        <f>food_insecure</f>
        <v>1E-3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0.84200000000000008</v>
      </c>
      <c r="I18" s="62">
        <f>frac_PW_health_facility</f>
        <v>0.84200000000000008</v>
      </c>
      <c r="J18" s="62">
        <f>frac_PW_health_facility</f>
        <v>0.84200000000000008</v>
      </c>
      <c r="K18" s="62">
        <f>frac_PW_health_facility</f>
        <v>0.84200000000000008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0.01</v>
      </c>
      <c r="I19" s="62">
        <f>frac_malaria_risk</f>
        <v>0.01</v>
      </c>
      <c r="J19" s="62">
        <f>frac_malaria_risk</f>
        <v>0.01</v>
      </c>
      <c r="K19" s="62">
        <f>frac_malaria_risk</f>
        <v>0.01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0.78099999999999992</v>
      </c>
      <c r="M24" s="62">
        <f>famplan_unmet_need</f>
        <v>0.78099999999999992</v>
      </c>
      <c r="N24" s="62">
        <f>famplan_unmet_need</f>
        <v>0.78099999999999992</v>
      </c>
      <c r="O24" s="62">
        <f>famplan_unmet_need</f>
        <v>0.78099999999999992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4.3193734853506992E-2</v>
      </c>
      <c r="M25" s="62">
        <f>(1-food_insecure)*(0.49)+food_insecure*(0.7)</f>
        <v>0.49020999999999998</v>
      </c>
      <c r="N25" s="62">
        <f>(1-food_insecure)*(0.49)+food_insecure*(0.7)</f>
        <v>0.49020999999999998</v>
      </c>
      <c r="O25" s="62">
        <f>(1-food_insecure)*(0.49)+food_insecure*(0.7)</f>
        <v>0.49020999999999998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1.8511600651502997E-2</v>
      </c>
      <c r="M26" s="62">
        <f>(1-food_insecure)*(0.21)+food_insecure*(0.3)</f>
        <v>0.21009</v>
      </c>
      <c r="N26" s="62">
        <f>(1-food_insecure)*(0.21)+food_insecure*(0.3)</f>
        <v>0.21009</v>
      </c>
      <c r="O26" s="62">
        <f>(1-food_insecure)*(0.21)+food_insecure*(0.3)</f>
        <v>0.21009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2.640738119498999E-2</v>
      </c>
      <c r="M27" s="62">
        <f>(1-food_insecure)*(0.3)</f>
        <v>0.29969999999999997</v>
      </c>
      <c r="N27" s="62">
        <f>(1-food_insecure)*(0.3)</f>
        <v>0.29969999999999997</v>
      </c>
      <c r="O27" s="62">
        <f>(1-food_insecure)*(0.3)</f>
        <v>0.29969999999999997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0.91188728330000002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0.01</v>
      </c>
      <c r="D34" s="62">
        <f t="shared" si="3"/>
        <v>0.01</v>
      </c>
      <c r="E34" s="62">
        <f t="shared" si="3"/>
        <v>0.01</v>
      </c>
      <c r="F34" s="62">
        <f t="shared" si="3"/>
        <v>0.01</v>
      </c>
      <c r="G34" s="62">
        <f t="shared" si="3"/>
        <v>0.01</v>
      </c>
      <c r="H34" s="62">
        <f t="shared" si="3"/>
        <v>0.01</v>
      </c>
      <c r="I34" s="62">
        <f t="shared" si="3"/>
        <v>0.01</v>
      </c>
      <c r="J34" s="62">
        <f t="shared" si="3"/>
        <v>0.01</v>
      </c>
      <c r="K34" s="62">
        <f t="shared" si="3"/>
        <v>0.01</v>
      </c>
      <c r="L34" s="62">
        <f t="shared" si="3"/>
        <v>0.01</v>
      </c>
      <c r="M34" s="62">
        <f t="shared" si="3"/>
        <v>0.01</v>
      </c>
      <c r="N34" s="62">
        <f t="shared" si="3"/>
        <v>0.01</v>
      </c>
      <c r="O34" s="62">
        <f t="shared" si="3"/>
        <v>0.01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32635.533599999999</v>
      </c>
      <c r="C2" s="50">
        <v>83000</v>
      </c>
      <c r="D2" s="50">
        <v>224000</v>
      </c>
      <c r="E2" s="50">
        <v>238000</v>
      </c>
      <c r="F2" s="50">
        <v>241000</v>
      </c>
      <c r="G2" s="17">
        <f t="shared" ref="G2:G16" si="0">C2+D2+E2+F2</f>
        <v>786000</v>
      </c>
      <c r="H2" s="17">
        <f t="shared" ref="H2:H40" si="1">(B2 + stillbirth*B2/(1000-stillbirth))/(1-abortion)</f>
        <v>37188.54669217491</v>
      </c>
      <c r="I2" s="17">
        <f t="shared" ref="I2:I40" si="2">G2-H2</f>
        <v>748811.45330782514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32556.5864</v>
      </c>
      <c r="C3" s="50">
        <v>82000</v>
      </c>
      <c r="D3" s="50">
        <v>218000</v>
      </c>
      <c r="E3" s="50">
        <v>237000</v>
      </c>
      <c r="F3" s="50">
        <v>241000</v>
      </c>
      <c r="G3" s="17">
        <f t="shared" si="0"/>
        <v>778000</v>
      </c>
      <c r="H3" s="17">
        <f t="shared" si="1"/>
        <v>37098.585496215906</v>
      </c>
      <c r="I3" s="17">
        <f t="shared" si="2"/>
        <v>740901.41450378415</v>
      </c>
    </row>
    <row r="4" spans="1:9" ht="15.75" customHeight="1" x14ac:dyDescent="0.25">
      <c r="A4" s="5">
        <f t="shared" si="3"/>
        <v>2023</v>
      </c>
      <c r="B4" s="49">
        <v>32468.314999999991</v>
      </c>
      <c r="C4" s="50">
        <v>83000</v>
      </c>
      <c r="D4" s="50">
        <v>212000</v>
      </c>
      <c r="E4" s="50">
        <v>235000</v>
      </c>
      <c r="F4" s="50">
        <v>239000</v>
      </c>
      <c r="G4" s="17">
        <f t="shared" si="0"/>
        <v>769000</v>
      </c>
      <c r="H4" s="17">
        <f t="shared" si="1"/>
        <v>36997.999272600915</v>
      </c>
      <c r="I4" s="17">
        <f t="shared" si="2"/>
        <v>732002.00072739914</v>
      </c>
    </row>
    <row r="5" spans="1:9" ht="15.75" customHeight="1" x14ac:dyDescent="0.25">
      <c r="A5" s="5">
        <f t="shared" si="3"/>
        <v>2024</v>
      </c>
      <c r="B5" s="49">
        <v>32380.06519999999</v>
      </c>
      <c r="C5" s="50">
        <v>84000</v>
      </c>
      <c r="D5" s="50">
        <v>205000</v>
      </c>
      <c r="E5" s="50">
        <v>234000</v>
      </c>
      <c r="F5" s="50">
        <v>238000</v>
      </c>
      <c r="G5" s="17">
        <f t="shared" si="0"/>
        <v>761000</v>
      </c>
      <c r="H5" s="17">
        <f t="shared" si="1"/>
        <v>36897.43766242166</v>
      </c>
      <c r="I5" s="17">
        <f t="shared" si="2"/>
        <v>724102.56233757839</v>
      </c>
    </row>
    <row r="6" spans="1:9" ht="15.75" customHeight="1" x14ac:dyDescent="0.25">
      <c r="A6" s="5">
        <f t="shared" si="3"/>
        <v>2025</v>
      </c>
      <c r="B6" s="49">
        <v>32282.495999999999</v>
      </c>
      <c r="C6" s="50">
        <v>83000</v>
      </c>
      <c r="D6" s="50">
        <v>197000</v>
      </c>
      <c r="E6" s="50">
        <v>234000</v>
      </c>
      <c r="F6" s="50">
        <v>238000</v>
      </c>
      <c r="G6" s="17">
        <f t="shared" si="0"/>
        <v>752000</v>
      </c>
      <c r="H6" s="17">
        <f t="shared" si="1"/>
        <v>36786.256494238842</v>
      </c>
      <c r="I6" s="17">
        <f t="shared" si="2"/>
        <v>715213.74350576114</v>
      </c>
    </row>
    <row r="7" spans="1:9" ht="15.75" customHeight="1" x14ac:dyDescent="0.25">
      <c r="A7" s="5">
        <f t="shared" si="3"/>
        <v>2026</v>
      </c>
      <c r="B7" s="49">
        <v>31894.40159999999</v>
      </c>
      <c r="C7" s="50">
        <v>83000</v>
      </c>
      <c r="D7" s="50">
        <v>191000</v>
      </c>
      <c r="E7" s="50">
        <v>232000</v>
      </c>
      <c r="F7" s="50">
        <v>237000</v>
      </c>
      <c r="G7" s="17">
        <f t="shared" si="0"/>
        <v>743000</v>
      </c>
      <c r="H7" s="17">
        <f t="shared" si="1"/>
        <v>36344.018690124249</v>
      </c>
      <c r="I7" s="17">
        <f t="shared" si="2"/>
        <v>706655.98130987573</v>
      </c>
    </row>
    <row r="8" spans="1:9" ht="15.75" customHeight="1" x14ac:dyDescent="0.25">
      <c r="A8" s="5">
        <f t="shared" si="3"/>
        <v>2027</v>
      </c>
      <c r="B8" s="49">
        <v>31498.730199999991</v>
      </c>
      <c r="C8" s="50">
        <v>82000</v>
      </c>
      <c r="D8" s="50">
        <v>184000</v>
      </c>
      <c r="E8" s="50">
        <v>232000</v>
      </c>
      <c r="F8" s="50">
        <v>237000</v>
      </c>
      <c r="G8" s="17">
        <f t="shared" si="0"/>
        <v>735000</v>
      </c>
      <c r="H8" s="17">
        <f t="shared" si="1"/>
        <v>35893.146811821083</v>
      </c>
      <c r="I8" s="17">
        <f t="shared" si="2"/>
        <v>699106.85318817897</v>
      </c>
    </row>
    <row r="9" spans="1:9" ht="15.75" customHeight="1" x14ac:dyDescent="0.25">
      <c r="A9" s="5">
        <f t="shared" si="3"/>
        <v>2028</v>
      </c>
      <c r="B9" s="49">
        <v>31104.822799999991</v>
      </c>
      <c r="C9" s="50">
        <v>80000</v>
      </c>
      <c r="D9" s="50">
        <v>178000</v>
      </c>
      <c r="E9" s="50">
        <v>231000</v>
      </c>
      <c r="F9" s="50">
        <v>237000</v>
      </c>
      <c r="G9" s="17">
        <f t="shared" si="0"/>
        <v>726000</v>
      </c>
      <c r="H9" s="17">
        <f t="shared" si="1"/>
        <v>35444.285030768624</v>
      </c>
      <c r="I9" s="17">
        <f t="shared" si="2"/>
        <v>690555.7149692314</v>
      </c>
    </row>
    <row r="10" spans="1:9" ht="15.75" customHeight="1" x14ac:dyDescent="0.25">
      <c r="A10" s="5">
        <f t="shared" si="3"/>
        <v>2029</v>
      </c>
      <c r="B10" s="49">
        <v>30703.69119999999</v>
      </c>
      <c r="C10" s="50">
        <v>79000</v>
      </c>
      <c r="D10" s="50">
        <v>172000</v>
      </c>
      <c r="E10" s="50">
        <v>230000</v>
      </c>
      <c r="F10" s="50">
        <v>237000</v>
      </c>
      <c r="G10" s="17">
        <f t="shared" si="0"/>
        <v>718000</v>
      </c>
      <c r="H10" s="17">
        <f t="shared" si="1"/>
        <v>34987.19119497772</v>
      </c>
      <c r="I10" s="17">
        <f t="shared" si="2"/>
        <v>683012.80880502227</v>
      </c>
    </row>
    <row r="11" spans="1:9" ht="15.75" customHeight="1" x14ac:dyDescent="0.25">
      <c r="A11" s="5">
        <f t="shared" si="3"/>
        <v>2030</v>
      </c>
      <c r="B11" s="49">
        <v>30304.5</v>
      </c>
      <c r="C11" s="50">
        <v>78000</v>
      </c>
      <c r="D11" s="50">
        <v>168000</v>
      </c>
      <c r="E11" s="50">
        <v>226000</v>
      </c>
      <c r="F11" s="50">
        <v>236000</v>
      </c>
      <c r="G11" s="17">
        <f t="shared" si="0"/>
        <v>708000</v>
      </c>
      <c r="H11" s="17">
        <f t="shared" si="1"/>
        <v>34532.30846616262</v>
      </c>
      <c r="I11" s="17">
        <f t="shared" si="2"/>
        <v>673467.69153383735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0</v>
      </c>
    </row>
    <row r="4" spans="1:8" ht="15.75" customHeight="1" x14ac:dyDescent="0.25">
      <c r="B4" s="19" t="s">
        <v>69</v>
      </c>
      <c r="C4" s="51">
        <v>5.1118499525227089E-2</v>
      </c>
    </row>
    <row r="5" spans="1:8" ht="15.75" customHeight="1" x14ac:dyDescent="0.25">
      <c r="B5" s="19" t="s">
        <v>70</v>
      </c>
      <c r="C5" s="51">
        <v>4.0375205060669467E-2</v>
      </c>
    </row>
    <row r="6" spans="1:8" ht="15.75" customHeight="1" x14ac:dyDescent="0.25">
      <c r="B6" s="19" t="s">
        <v>71</v>
      </c>
      <c r="C6" s="51">
        <v>0.1187386288620349</v>
      </c>
    </row>
    <row r="7" spans="1:8" ht="15.75" customHeight="1" x14ac:dyDescent="0.25">
      <c r="B7" s="19" t="s">
        <v>72</v>
      </c>
      <c r="C7" s="51">
        <v>0.40308133954730108</v>
      </c>
    </row>
    <row r="8" spans="1:8" ht="15.75" customHeight="1" x14ac:dyDescent="0.25">
      <c r="B8" s="19" t="s">
        <v>73</v>
      </c>
      <c r="C8" s="51">
        <v>0</v>
      </c>
    </row>
    <row r="9" spans="1:8" ht="15.75" customHeight="1" x14ac:dyDescent="0.25">
      <c r="B9" s="19" t="s">
        <v>74</v>
      </c>
      <c r="C9" s="51">
        <v>0.30387710977728027</v>
      </c>
    </row>
    <row r="10" spans="1:8" ht="15.75" customHeight="1" x14ac:dyDescent="0.25">
      <c r="B10" s="19" t="s">
        <v>75</v>
      </c>
      <c r="C10" s="51">
        <v>8.2809217227487103E-2</v>
      </c>
    </row>
    <row r="11" spans="1:8" ht="15.75" customHeight="1" x14ac:dyDescent="0.25">
      <c r="B11" s="27" t="s">
        <v>30</v>
      </c>
      <c r="C11" s="47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2.4006392443578901E-2</v>
      </c>
      <c r="D14" s="51">
        <v>2.4006392443578901E-2</v>
      </c>
      <c r="E14" s="51">
        <v>2.4006392443578901E-2</v>
      </c>
      <c r="F14" s="51">
        <v>2.4006392443578901E-2</v>
      </c>
    </row>
    <row r="15" spans="1:8" ht="15.75" customHeight="1" x14ac:dyDescent="0.25">
      <c r="B15" s="19" t="s">
        <v>82</v>
      </c>
      <c r="C15" s="51">
        <v>0.1012633103353708</v>
      </c>
      <c r="D15" s="51">
        <v>0.1012633103353708</v>
      </c>
      <c r="E15" s="51">
        <v>0.1012633103353708</v>
      </c>
      <c r="F15" s="51">
        <v>0.1012633103353708</v>
      </c>
    </row>
    <row r="16" spans="1:8" ht="15.75" customHeight="1" x14ac:dyDescent="0.25">
      <c r="B16" s="19" t="s">
        <v>83</v>
      </c>
      <c r="C16" s="51">
        <v>2.0599619094173651E-2</v>
      </c>
      <c r="D16" s="51">
        <v>2.0599619094173651E-2</v>
      </c>
      <c r="E16" s="51">
        <v>2.0599619094173651E-2</v>
      </c>
      <c r="F16" s="51">
        <v>2.0599619094173651E-2</v>
      </c>
    </row>
    <row r="17" spans="1:8" ht="15.75" customHeight="1" x14ac:dyDescent="0.25">
      <c r="B17" s="19" t="s">
        <v>84</v>
      </c>
      <c r="C17" s="51">
        <v>5.233910682371324E-2</v>
      </c>
      <c r="D17" s="51">
        <v>5.233910682371324E-2</v>
      </c>
      <c r="E17" s="51">
        <v>5.233910682371324E-2</v>
      </c>
      <c r="F17" s="51">
        <v>5.233910682371324E-2</v>
      </c>
    </row>
    <row r="18" spans="1:8" ht="15.75" customHeight="1" x14ac:dyDescent="0.25">
      <c r="B18" s="19" t="s">
        <v>85</v>
      </c>
      <c r="C18" s="51">
        <v>0</v>
      </c>
      <c r="D18" s="51">
        <v>0</v>
      </c>
      <c r="E18" s="51">
        <v>0</v>
      </c>
      <c r="F18" s="51">
        <v>0</v>
      </c>
    </row>
    <row r="19" spans="1:8" ht="15.75" customHeight="1" x14ac:dyDescent="0.25">
      <c r="B19" s="19" t="s">
        <v>86</v>
      </c>
      <c r="C19" s="51">
        <v>9.1728922200068393E-3</v>
      </c>
      <c r="D19" s="51">
        <v>9.1728922200068393E-3</v>
      </c>
      <c r="E19" s="51">
        <v>9.1728922200068393E-3</v>
      </c>
      <c r="F19" s="51">
        <v>9.1728922200068393E-3</v>
      </c>
    </row>
    <row r="20" spans="1:8" ht="15.75" customHeight="1" x14ac:dyDescent="0.25">
      <c r="B20" s="19" t="s">
        <v>87</v>
      </c>
      <c r="C20" s="51">
        <v>0</v>
      </c>
      <c r="D20" s="51">
        <v>0</v>
      </c>
      <c r="E20" s="51">
        <v>0</v>
      </c>
      <c r="F20" s="51">
        <v>0</v>
      </c>
    </row>
    <row r="21" spans="1:8" ht="15.75" customHeight="1" x14ac:dyDescent="0.25">
      <c r="B21" s="19" t="s">
        <v>88</v>
      </c>
      <c r="C21" s="51">
        <v>0.1092153444449659</v>
      </c>
      <c r="D21" s="51">
        <v>0.1092153444449659</v>
      </c>
      <c r="E21" s="51">
        <v>0.1092153444449659</v>
      </c>
      <c r="F21" s="51">
        <v>0.1092153444449659</v>
      </c>
    </row>
    <row r="22" spans="1:8" ht="15.75" customHeight="1" x14ac:dyDescent="0.25">
      <c r="B22" s="19" t="s">
        <v>89</v>
      </c>
      <c r="C22" s="51">
        <v>0.6834033346381907</v>
      </c>
      <c r="D22" s="51">
        <v>0.6834033346381907</v>
      </c>
      <c r="E22" s="51">
        <v>0.6834033346381907</v>
      </c>
      <c r="F22" s="51">
        <v>0.6834033346381907</v>
      </c>
    </row>
    <row r="23" spans="1:8" ht="15.75" customHeight="1" x14ac:dyDescent="0.25">
      <c r="B23" s="27" t="s">
        <v>30</v>
      </c>
      <c r="C23" s="47">
        <f>SUM(C14:C22)</f>
        <v>1</v>
      </c>
      <c r="D23" s="47">
        <f>SUM(D14:D22)</f>
        <v>1</v>
      </c>
      <c r="E23" s="47">
        <f>SUM(E14:E22)</f>
        <v>1</v>
      </c>
      <c r="F23" s="47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5.5773718999999999E-2</v>
      </c>
    </row>
    <row r="27" spans="1:8" ht="15.75" customHeight="1" x14ac:dyDescent="0.25">
      <c r="B27" s="19" t="s">
        <v>92</v>
      </c>
      <c r="C27" s="51">
        <v>5.7652142000000003E-2</v>
      </c>
    </row>
    <row r="28" spans="1:8" ht="15.75" customHeight="1" x14ac:dyDescent="0.25">
      <c r="B28" s="19" t="s">
        <v>93</v>
      </c>
      <c r="C28" s="51">
        <v>0.12384268499999999</v>
      </c>
    </row>
    <row r="29" spans="1:8" ht="15.75" customHeight="1" x14ac:dyDescent="0.25">
      <c r="B29" s="19" t="s">
        <v>94</v>
      </c>
      <c r="C29" s="51">
        <v>0.136252816</v>
      </c>
    </row>
    <row r="30" spans="1:8" ht="15.75" customHeight="1" x14ac:dyDescent="0.25">
      <c r="B30" s="19" t="s">
        <v>95</v>
      </c>
      <c r="C30" s="51">
        <v>8.3258572000000003E-2</v>
      </c>
    </row>
    <row r="31" spans="1:8" ht="15.75" customHeight="1" x14ac:dyDescent="0.25">
      <c r="B31" s="19" t="s">
        <v>96</v>
      </c>
      <c r="C31" s="51">
        <v>6.5980006999999993E-2</v>
      </c>
    </row>
    <row r="32" spans="1:8" ht="15.75" customHeight="1" x14ac:dyDescent="0.25">
      <c r="B32" s="19" t="s">
        <v>97</v>
      </c>
      <c r="C32" s="51">
        <v>0.12997820099999999</v>
      </c>
    </row>
    <row r="33" spans="2:3" ht="15.75" customHeight="1" x14ac:dyDescent="0.25">
      <c r="B33" s="19" t="s">
        <v>98</v>
      </c>
      <c r="C33" s="51">
        <v>0.124636924</v>
      </c>
    </row>
    <row r="34" spans="2:3" ht="15.75" customHeight="1" x14ac:dyDescent="0.25">
      <c r="B34" s="19" t="s">
        <v>99</v>
      </c>
      <c r="C34" s="51">
        <v>0.222624933</v>
      </c>
    </row>
    <row r="35" spans="2:3" ht="15.75" customHeight="1" x14ac:dyDescent="0.25">
      <c r="B35" s="27" t="s">
        <v>30</v>
      </c>
      <c r="C35" s="47">
        <f>SUM(C26:C34)</f>
        <v>0.99999999899999992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0.5011213988387031</v>
      </c>
      <c r="D2" s="52">
        <f>IFERROR(1-_xlfn.NORM.DIST(_xlfn.NORM.INV(SUM(D4:D5), 0, 1) + 1, 0, 1, TRUE), "")</f>
        <v>0.5011213988387031</v>
      </c>
      <c r="E2" s="52">
        <f>IFERROR(1-_xlfn.NORM.DIST(_xlfn.NORM.INV(SUM(E4:E5), 0, 1) + 1, 0, 1, TRUE), "")</f>
        <v>0.61554531704824345</v>
      </c>
      <c r="F2" s="52">
        <f>IFERROR(1-_xlfn.NORM.DIST(_xlfn.NORM.INV(SUM(F4:F5), 0, 1) + 1, 0, 1, TRUE), "")</f>
        <v>0.53603368738761104</v>
      </c>
      <c r="G2" s="52">
        <f>IFERROR(1-_xlfn.NORM.DIST(_xlfn.NORM.INV(SUM(G4:G5), 0, 1) + 1, 0, 1, TRUE), "")</f>
        <v>0.70785260258671034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0.34090255495672983</v>
      </c>
      <c r="D3" s="52">
        <f>IFERROR(_xlfn.NORM.DIST(_xlfn.NORM.INV(SUM(D4:D5), 0, 1) + 1, 0, 1, TRUE) - SUM(D4:D5), "")</f>
        <v>0.34090255495672983</v>
      </c>
      <c r="E3" s="52">
        <f>IFERROR(_xlfn.NORM.DIST(_xlfn.NORM.INV(SUM(E4:E5), 0, 1) + 1, 0, 1, TRUE) - SUM(E4:E5), "")</f>
        <v>0.286587736120411</v>
      </c>
      <c r="F3" s="52">
        <f>IFERROR(_xlfn.NORM.DIST(_xlfn.NORM.INV(SUM(F4:F5), 0, 1) + 1, 0, 1, TRUE) - SUM(F4:F5), "")</f>
        <v>0.32620799800286132</v>
      </c>
      <c r="G3" s="52">
        <f>IFERROR(_xlfn.NORM.DIST(_xlfn.NORM.INV(SUM(G4:G5), 0, 1) + 1, 0, 1, TRUE) - SUM(G4:G5), "")</f>
        <v>0.23123050422910466</v>
      </c>
    </row>
    <row r="4" spans="1:15" ht="15.75" customHeight="1" x14ac:dyDescent="0.25">
      <c r="B4" s="5" t="s">
        <v>104</v>
      </c>
      <c r="C4" s="53">
        <v>7.4163332581520094E-2</v>
      </c>
      <c r="D4" s="53">
        <v>7.4163332581520094E-2</v>
      </c>
      <c r="E4" s="53">
        <v>7.3369085788726793E-2</v>
      </c>
      <c r="F4" s="53">
        <v>7.6801851391792297E-2</v>
      </c>
      <c r="G4" s="53">
        <v>3.5072166472673402E-2</v>
      </c>
    </row>
    <row r="5" spans="1:15" ht="15.75" customHeight="1" x14ac:dyDescent="0.25">
      <c r="B5" s="5" t="s">
        <v>105</v>
      </c>
      <c r="C5" s="53">
        <v>8.3812713623046889E-2</v>
      </c>
      <c r="D5" s="53">
        <v>8.3812713623046889E-2</v>
      </c>
      <c r="E5" s="53">
        <v>2.44978610426188E-2</v>
      </c>
      <c r="F5" s="53">
        <v>6.0956463217735297E-2</v>
      </c>
      <c r="G5" s="53">
        <v>2.5844726711511602E-2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0.63714856875547587</v>
      </c>
      <c r="D8" s="52">
        <f>IFERROR(1-_xlfn.NORM.DIST(_xlfn.NORM.INV(SUM(D10:D11), 0, 1) + 1, 0, 1, TRUE), "")</f>
        <v>0.63714856875547587</v>
      </c>
      <c r="E8" s="52">
        <f>IFERROR(1-_xlfn.NORM.DIST(_xlfn.NORM.INV(SUM(E10:E11), 0, 1) + 1, 0, 1, TRUE), "")</f>
        <v>0.86938768792426224</v>
      </c>
      <c r="F8" s="52">
        <f>IFERROR(1-_xlfn.NORM.DIST(_xlfn.NORM.INV(SUM(F10:F11), 0, 1) + 1, 0, 1, TRUE), "")</f>
        <v>0.89500392147304919</v>
      </c>
      <c r="G8" s="52">
        <f>IFERROR(1-_xlfn.NORM.DIST(_xlfn.NORM.INV(SUM(G10:G11), 0, 1) + 1, 0, 1, TRUE), "")</f>
        <v>0.8660742104886443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0.27447926497599662</v>
      </c>
      <c r="D9" s="52">
        <f>IFERROR(_xlfn.NORM.DIST(_xlfn.NORM.INV(SUM(D10:D11), 0, 1) + 1, 0, 1, TRUE) - SUM(D10:D11), "")</f>
        <v>0.27447926497599662</v>
      </c>
      <c r="E9" s="52">
        <f>IFERROR(_xlfn.NORM.DIST(_xlfn.NORM.INV(SUM(E10:E11), 0, 1) + 1, 0, 1, TRUE) - SUM(E10:E11), "")</f>
        <v>0.11375638116622333</v>
      </c>
      <c r="F9" s="52">
        <f>IFERROR(_xlfn.NORM.DIST(_xlfn.NORM.INV(SUM(F10:F11), 0, 1) + 1, 0, 1, TRUE) - SUM(F10:F11), "")</f>
        <v>9.2884997716523088E-2</v>
      </c>
      <c r="G9" s="52">
        <f>IFERROR(_xlfn.NORM.DIST(_xlfn.NORM.INV(SUM(G10:G11), 0, 1) + 1, 0, 1, TRUE) - SUM(G10:G11), "")</f>
        <v>0.11641131994366932</v>
      </c>
    </row>
    <row r="10" spans="1:15" ht="15.75" customHeight="1" x14ac:dyDescent="0.25">
      <c r="B10" s="5" t="s">
        <v>109</v>
      </c>
      <c r="C10" s="53">
        <v>1.52840269729495E-2</v>
      </c>
      <c r="D10" s="53">
        <v>1.52840269729495E-2</v>
      </c>
      <c r="E10" s="53">
        <v>1.6855930909514399E-2</v>
      </c>
      <c r="F10" s="53">
        <v>6.0134083032607998E-3</v>
      </c>
      <c r="G10" s="53">
        <v>5.8562611229717697E-3</v>
      </c>
    </row>
    <row r="11" spans="1:15" ht="15.75" customHeight="1" x14ac:dyDescent="0.25">
      <c r="B11" s="5" t="s">
        <v>110</v>
      </c>
      <c r="C11" s="53">
        <v>7.3088139295578003E-2</v>
      </c>
      <c r="D11" s="53">
        <v>7.3088139295578003E-2</v>
      </c>
      <c r="E11" s="53">
        <v>0</v>
      </c>
      <c r="F11" s="53">
        <v>6.0976725071668599E-3</v>
      </c>
      <c r="G11" s="53">
        <v>1.16582084447146E-2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0.41136791174999998</v>
      </c>
      <c r="D14" s="54">
        <v>0.41779542736699998</v>
      </c>
      <c r="E14" s="54">
        <v>0.41779542736699998</v>
      </c>
      <c r="F14" s="54">
        <v>0.219470227804</v>
      </c>
      <c r="G14" s="54">
        <v>0.219470227804</v>
      </c>
      <c r="H14" s="55">
        <v>0.29799999999999999</v>
      </c>
      <c r="I14" s="55">
        <v>0.29799999999999999</v>
      </c>
      <c r="J14" s="55">
        <v>0.29799999999999999</v>
      </c>
      <c r="K14" s="55">
        <v>0.29799999999999999</v>
      </c>
      <c r="L14" s="55">
        <v>0.29399999999999998</v>
      </c>
      <c r="M14" s="55">
        <v>0.29399999999999998</v>
      </c>
      <c r="N14" s="55">
        <v>0.29399999999999998</v>
      </c>
      <c r="O14" s="55">
        <v>0.29399999999999998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0.25413240031344447</v>
      </c>
      <c r="D15" s="52">
        <f t="shared" si="0"/>
        <v>0.258103152346221</v>
      </c>
      <c r="E15" s="52">
        <f t="shared" si="0"/>
        <v>0.258103152346221</v>
      </c>
      <c r="F15" s="52">
        <f t="shared" si="0"/>
        <v>0.13558300051138827</v>
      </c>
      <c r="G15" s="52">
        <f t="shared" si="0"/>
        <v>0.13558300051138827</v>
      </c>
      <c r="H15" s="52">
        <f t="shared" si="0"/>
        <v>0.18409665199999997</v>
      </c>
      <c r="I15" s="52">
        <f t="shared" si="0"/>
        <v>0.18409665199999997</v>
      </c>
      <c r="J15" s="52">
        <f t="shared" si="0"/>
        <v>0.18409665199999997</v>
      </c>
      <c r="K15" s="52">
        <f t="shared" si="0"/>
        <v>0.18409665199999997</v>
      </c>
      <c r="L15" s="52">
        <f t="shared" si="0"/>
        <v>0.18162555599999997</v>
      </c>
      <c r="M15" s="52">
        <f t="shared" si="0"/>
        <v>0.18162555599999997</v>
      </c>
      <c r="N15" s="52">
        <f t="shared" si="0"/>
        <v>0.18162555599999997</v>
      </c>
      <c r="O15" s="52">
        <f t="shared" si="0"/>
        <v>0.18162555599999997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0.29851898550987199</v>
      </c>
      <c r="D2" s="53">
        <v>0.1619959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0.28573414683342002</v>
      </c>
      <c r="D3" s="53">
        <v>0.27325430000000001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0.29176387190818798</v>
      </c>
      <c r="D4" s="53">
        <v>0.28245740000000003</v>
      </c>
      <c r="E4" s="53">
        <v>0.45839709043502802</v>
      </c>
      <c r="F4" s="53">
        <v>0.117301903665066</v>
      </c>
      <c r="G4" s="53">
        <v>0</v>
      </c>
    </row>
    <row r="5" spans="1:7" x14ac:dyDescent="0.25">
      <c r="B5" s="3" t="s">
        <v>122</v>
      </c>
      <c r="C5" s="52">
        <v>0.12398301064968099</v>
      </c>
      <c r="D5" s="52">
        <v>0.28229236602783198</v>
      </c>
      <c r="E5" s="52">
        <f>1-SUM(E2:E4)</f>
        <v>0.54160290956497192</v>
      </c>
      <c r="F5" s="52">
        <f>1-SUM(F2:F4)</f>
        <v>0.88269809633493401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2023-01-17T02:31:34Z</dcterms:modified>
</cp:coreProperties>
</file>