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A4D587CE-DF3E-4B7D-8171-2E3808702E2D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I39" i="2" s="1"/>
  <c r="G39" i="2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H24" i="2"/>
  <c r="I24" i="2" s="1"/>
  <c r="G24" i="2"/>
  <c r="H23" i="2"/>
  <c r="G23" i="2"/>
  <c r="I23" i="2" s="1"/>
  <c r="H22" i="2"/>
  <c r="I22" i="2" s="1"/>
  <c r="G22" i="2"/>
  <c r="H21" i="2"/>
  <c r="G21" i="2"/>
  <c r="I21" i="2" s="1"/>
  <c r="H20" i="2"/>
  <c r="I20" i="2" s="1"/>
  <c r="G20" i="2"/>
  <c r="H19" i="2"/>
  <c r="G19" i="2"/>
  <c r="I19" i="2" s="1"/>
  <c r="H18" i="2"/>
  <c r="I18" i="2" s="1"/>
  <c r="G18" i="2"/>
  <c r="H17" i="2"/>
  <c r="G17" i="2"/>
  <c r="I17" i="2" s="1"/>
  <c r="H16" i="2"/>
  <c r="I16" i="2" s="1"/>
  <c r="G16" i="2"/>
  <c r="H15" i="2"/>
  <c r="G15" i="2"/>
  <c r="I15" i="2" s="1"/>
  <c r="H14" i="2"/>
  <c r="I14" i="2" s="1"/>
  <c r="G14" i="2"/>
  <c r="H13" i="2"/>
  <c r="G13" i="2"/>
  <c r="I13" i="2" s="1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A13" i="2" l="1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<sst xmlns="http://schemas.openxmlformats.org/spreadsheetml/2006/main" count="2089" uniqueCount="342">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</sst>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2133542.6875</v>
      </c>
    </row>
    <row r="8" spans="1:3" ht="15" customHeight="1" x14ac:dyDescent="0.25">
      <c r="B8" s="5" t="s">
        <v>8</v>
      </c>
      <c r="C8" s="44">
        <v>0.35299999999999998</v>
      </c>
    </row>
    <row r="9" spans="1:3" ht="15" customHeight="1" x14ac:dyDescent="0.25">
      <c r="B9" s="5" t="s">
        <v>9</v>
      </c>
      <c r="C9" s="45">
        <v>0.99</v>
      </c>
    </row>
    <row r="10" spans="1:3" ht="15" customHeight="1" x14ac:dyDescent="0.25">
      <c r="B10" s="5" t="s">
        <v>10</v>
      </c>
      <c r="C10" s="45">
        <v>0.262394599914551</v>
      </c>
    </row>
    <row r="11" spans="1:3" ht="15" customHeight="1" x14ac:dyDescent="0.25">
      <c r="B11" s="5" t="s">
        <v>11</v>
      </c>
      <c r="C11" s="44">
        <v>0.56600000000000006</v>
      </c>
    </row>
    <row r="12" spans="1:3" ht="15" customHeight="1" x14ac:dyDescent="0.25">
      <c r="B12" s="5" t="s">
        <v>12</v>
      </c>
      <c r="C12" s="44">
        <v>0.29599999999999999</v>
      </c>
    </row>
    <row r="13" spans="1:3" ht="15" customHeight="1" x14ac:dyDescent="0.25">
      <c r="B13" s="5" t="s">
        <v>13</v>
      </c>
      <c r="C13" s="44">
        <v>0.78500000000000003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0.14269999999999999</v>
      </c>
    </row>
    <row r="24" spans="1:3" ht="15" customHeight="1" x14ac:dyDescent="0.25">
      <c r="B24" s="15" t="s">
        <v>22</v>
      </c>
      <c r="C24" s="45">
        <v>0.42099999999999987</v>
      </c>
    </row>
    <row r="25" spans="1:3" ht="15" customHeight="1" x14ac:dyDescent="0.25">
      <c r="B25" s="15" t="s">
        <v>23</v>
      </c>
      <c r="C25" s="45">
        <v>0.33529999999999999</v>
      </c>
    </row>
    <row r="26" spans="1:3" ht="15" customHeight="1" x14ac:dyDescent="0.25">
      <c r="B26" s="15" t="s">
        <v>24</v>
      </c>
      <c r="C26" s="45">
        <v>0.10100000000000001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0.22288261628662701</v>
      </c>
    </row>
    <row r="30" spans="1:3" ht="14.25" customHeight="1" x14ac:dyDescent="0.25">
      <c r="B30" s="25" t="s">
        <v>27</v>
      </c>
      <c r="C30" s="100">
        <v>2.0292753038782401E-2</v>
      </c>
    </row>
    <row r="31" spans="1:3" ht="14.25" customHeight="1" x14ac:dyDescent="0.25">
      <c r="B31" s="25" t="s">
        <v>28</v>
      </c>
      <c r="C31" s="100">
        <v>7.9128923215252292E-2</v>
      </c>
    </row>
    <row r="32" spans="1:3" ht="14.25" customHeight="1" x14ac:dyDescent="0.25">
      <c r="B32" s="25" t="s">
        <v>29</v>
      </c>
      <c r="C32" s="100">
        <v>0.67769570745933805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30.3671816975958</v>
      </c>
    </row>
    <row r="38" spans="1:5" ht="15" customHeight="1" x14ac:dyDescent="0.25">
      <c r="B38" s="11" t="s">
        <v>34</v>
      </c>
      <c r="C38" s="43">
        <v>63.819793822014503</v>
      </c>
      <c r="D38" s="12"/>
      <c r="E38" s="13"/>
    </row>
    <row r="39" spans="1:5" ht="15" customHeight="1" x14ac:dyDescent="0.25">
      <c r="B39" s="11" t="s">
        <v>35</v>
      </c>
      <c r="C39" s="43">
        <v>98.802972846531503</v>
      </c>
      <c r="D39" s="12"/>
      <c r="E39" s="12"/>
    </row>
    <row r="40" spans="1:5" ht="15" customHeight="1" x14ac:dyDescent="0.25">
      <c r="B40" s="11" t="s">
        <v>36</v>
      </c>
      <c r="C40" s="99">
        <v>5.76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25.202297269999999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2.2363399999999999E-2</v>
      </c>
      <c r="D45" s="12"/>
    </row>
    <row r="46" spans="1:5" ht="15.75" customHeight="1" x14ac:dyDescent="0.25">
      <c r="B46" s="11" t="s">
        <v>41</v>
      </c>
      <c r="C46" s="45">
        <v>0.11700579999999999</v>
      </c>
      <c r="D46" s="12"/>
    </row>
    <row r="47" spans="1:5" ht="15.75" customHeight="1" x14ac:dyDescent="0.25">
      <c r="B47" s="11" t="s">
        <v>42</v>
      </c>
      <c r="C47" s="45">
        <v>0.22439870000000001</v>
      </c>
      <c r="D47" s="12"/>
      <c r="E47" s="13"/>
    </row>
    <row r="48" spans="1:5" ht="15" customHeight="1" x14ac:dyDescent="0.25">
      <c r="B48" s="11" t="s">
        <v>43</v>
      </c>
      <c r="C48" s="46">
        <v>0.63623209999999997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3.3</v>
      </c>
      <c r="D51" s="12"/>
    </row>
    <row r="52" spans="1:4" ht="15" customHeight="1" x14ac:dyDescent="0.25">
      <c r="B52" s="11" t="s">
        <v>46</v>
      </c>
      <c r="C52" s="48">
        <v>3.3</v>
      </c>
    </row>
    <row r="53" spans="1:4" ht="15.75" customHeight="1" x14ac:dyDescent="0.25">
      <c r="B53" s="11" t="s">
        <v>47</v>
      </c>
      <c r="C53" s="48">
        <v>3.3</v>
      </c>
    </row>
    <row r="54" spans="1:4" ht="15.75" customHeight="1" x14ac:dyDescent="0.25">
      <c r="B54" s="11" t="s">
        <v>48</v>
      </c>
      <c r="C54" s="48">
        <v>3.3</v>
      </c>
    </row>
    <row r="55" spans="1:4" ht="15.75" customHeight="1" x14ac:dyDescent="0.25">
      <c r="B55" s="11" t="s">
        <v>49</v>
      </c>
      <c r="C55" s="48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2.181818181818182E-2</v>
      </c>
    </row>
    <row r="59" spans="1:4" ht="15.75" customHeight="1" x14ac:dyDescent="0.25">
      <c r="B59" s="11" t="s">
        <v>52</v>
      </c>
      <c r="C59" s="44">
        <v>0.412416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0.27701113969059898</v>
      </c>
      <c r="C2" s="57">
        <v>0.95</v>
      </c>
      <c r="D2" s="58">
        <v>35.816368288100662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47.385296465699412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66.152777340535977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0.17464415084069779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8.5839376715225096E-2</v>
      </c>
      <c r="C10" s="57">
        <v>0.95</v>
      </c>
      <c r="D10" s="58">
        <v>15.044545796194489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8.5839376715225096E-2</v>
      </c>
      <c r="C11" s="57">
        <v>0.95</v>
      </c>
      <c r="D11" s="58">
        <v>15.044545796194489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8.5839376715225096E-2</v>
      </c>
      <c r="C12" s="57">
        <v>0.95</v>
      </c>
      <c r="D12" s="58">
        <v>15.044545796194489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8.5839376715225096E-2</v>
      </c>
      <c r="C13" s="57">
        <v>0.95</v>
      </c>
      <c r="D13" s="58">
        <v>15.044545796194489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8.5839376715225096E-2</v>
      </c>
      <c r="C14" s="57">
        <v>0.95</v>
      </c>
      <c r="D14" s="58">
        <v>15.044545796194489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8.5839376715225096E-2</v>
      </c>
      <c r="C15" s="57">
        <v>0.95</v>
      </c>
      <c r="D15" s="58">
        <v>15.044545796194489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0.24712311935070541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0.62398120000000001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0.82</v>
      </c>
      <c r="C18" s="57">
        <v>0.95</v>
      </c>
      <c r="D18" s="58">
        <v>1.6298747192048619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1.6298747192048619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0.52556040000000004</v>
      </c>
      <c r="C21" s="57">
        <v>0.95</v>
      </c>
      <c r="D21" s="58">
        <v>1.5381163607561441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25.637914781807041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4.9284766235485638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0.1328506323516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6.6949352066234494E-2</v>
      </c>
      <c r="C27" s="57">
        <v>0.95</v>
      </c>
      <c r="D27" s="58">
        <v>21.742653433254151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0.22719269890891899</v>
      </c>
      <c r="C29" s="57">
        <v>0.95</v>
      </c>
      <c r="D29" s="58">
        <v>62.950095029969347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1.954333786257108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2E-3</v>
      </c>
      <c r="C32" s="57">
        <v>0.95</v>
      </c>
      <c r="D32" s="58">
        <v>0.46704731202839472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0.54788661959999996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0.43885239999999998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2.504574E-2</v>
      </c>
      <c r="C38" s="57">
        <v>0.95</v>
      </c>
      <c r="D38" s="58">
        <v>5.1292086462125832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0.28039869871091799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204</v>
      </c>
      <c r="B3" s="21">
        <f>frac_mam_1month * 2.6</f>
        <v>0.20820057180000001</v>
      </c>
      <c r="C3" s="21">
        <f>frac_mam_1_5months * 2.6</f>
        <v>0.20820057180000001</v>
      </c>
      <c r="D3" s="21">
        <f>frac_mam_6_11months * 2.6</f>
        <v>0.14189490120000001</v>
      </c>
      <c r="E3" s="21">
        <f>frac_mam_12_23months * 2.6</f>
        <v>0.151865792</v>
      </c>
      <c r="F3" s="21">
        <f>frac_mam_24_59months * 2.6</f>
        <v>0.1264330132</v>
      </c>
    </row>
    <row r="4" spans="1:6" ht="15.75" customHeight="1" x14ac:dyDescent="0.25">
      <c r="A4" s="3" t="s">
        <v>205</v>
      </c>
      <c r="B4" s="21">
        <f>frac_sam_1month * 2.6</f>
        <v>0.1408158232</v>
      </c>
      <c r="C4" s="21">
        <f>frac_sam_1_5months * 2.6</f>
        <v>0.1408158232</v>
      </c>
      <c r="D4" s="21">
        <f>frac_sam_6_11months * 2.6</f>
        <v>0.1129438596</v>
      </c>
      <c r="E4" s="21">
        <f>frac_sam_12_23months * 2.6</f>
        <v>8.1669340999999993E-2</v>
      </c>
      <c r="F4" s="21">
        <f>frac_sam_24_59months * 2.6</f>
        <v>8.4558913400000005E-2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0.35299999999999998</v>
      </c>
      <c r="E2" s="62">
        <f>food_insecure</f>
        <v>0.35299999999999998</v>
      </c>
      <c r="F2" s="62">
        <f>food_insecure</f>
        <v>0.35299999999999998</v>
      </c>
      <c r="G2" s="62">
        <f>food_insecure</f>
        <v>0.35299999999999998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0.35299999999999998</v>
      </c>
      <c r="F5" s="62">
        <f>food_insecure</f>
        <v>0.35299999999999998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7.2000000000000008E-2</v>
      </c>
      <c r="D7" s="62">
        <f>diarrhoea_1_5mo*frac_diarrhea_severe</f>
        <v>7.2000000000000008E-2</v>
      </c>
      <c r="E7" s="62">
        <f>diarrhoea_6_11mo*frac_diarrhea_severe</f>
        <v>7.2000000000000008E-2</v>
      </c>
      <c r="F7" s="62">
        <f>diarrhoea_12_23mo*frac_diarrhea_severe</f>
        <v>7.2000000000000008E-2</v>
      </c>
      <c r="G7" s="62">
        <f>diarrhoea_24_59mo*frac_diarrhea_severe</f>
        <v>7.2000000000000008E-2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0.35299999999999998</v>
      </c>
      <c r="F8" s="62">
        <f>food_insecure</f>
        <v>0.35299999999999998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0.35299999999999998</v>
      </c>
      <c r="F9" s="62">
        <f>food_insecure</f>
        <v>0.35299999999999998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0.29599999999999999</v>
      </c>
      <c r="E10" s="62">
        <f>IF(ISBLANK(comm_deliv), frac_children_health_facility,1)</f>
        <v>0.29599999999999999</v>
      </c>
      <c r="F10" s="62">
        <f>IF(ISBLANK(comm_deliv), frac_children_health_facility,1)</f>
        <v>0.29599999999999999</v>
      </c>
      <c r="G10" s="62">
        <f>IF(ISBLANK(comm_deliv), frac_children_health_facility,1)</f>
        <v>0.29599999999999999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7.2000000000000008E-2</v>
      </c>
      <c r="D12" s="62">
        <f>diarrhoea_1_5mo*frac_diarrhea_severe</f>
        <v>7.2000000000000008E-2</v>
      </c>
      <c r="E12" s="62">
        <f>diarrhoea_6_11mo*frac_diarrhea_severe</f>
        <v>7.2000000000000008E-2</v>
      </c>
      <c r="F12" s="62">
        <f>diarrhoea_12_23mo*frac_diarrhea_severe</f>
        <v>7.2000000000000008E-2</v>
      </c>
      <c r="G12" s="62">
        <f>diarrhoea_24_59mo*frac_diarrhea_severe</f>
        <v>7.2000000000000008E-2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0.35299999999999998</v>
      </c>
      <c r="I15" s="62">
        <f>food_insecure</f>
        <v>0.35299999999999998</v>
      </c>
      <c r="J15" s="62">
        <f>food_insecure</f>
        <v>0.35299999999999998</v>
      </c>
      <c r="K15" s="62">
        <f>food_insecure</f>
        <v>0.35299999999999998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0.56600000000000006</v>
      </c>
      <c r="I18" s="62">
        <f>frac_PW_health_facility</f>
        <v>0.56600000000000006</v>
      </c>
      <c r="J18" s="62">
        <f>frac_PW_health_facility</f>
        <v>0.56600000000000006</v>
      </c>
      <c r="K18" s="62">
        <f>frac_PW_health_facility</f>
        <v>0.56600000000000006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0.99</v>
      </c>
      <c r="I19" s="62">
        <f>frac_malaria_risk</f>
        <v>0.99</v>
      </c>
      <c r="J19" s="62">
        <f>frac_malaria_risk</f>
        <v>0.99</v>
      </c>
      <c r="K19" s="62">
        <f>frac_malaria_risk</f>
        <v>0.99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0.78500000000000003</v>
      </c>
      <c r="M24" s="62">
        <f>famplan_unmet_need</f>
        <v>0.78500000000000003</v>
      </c>
      <c r="N24" s="62">
        <f>famplan_unmet_need</f>
        <v>0.78500000000000003</v>
      </c>
      <c r="O24" s="62">
        <f>famplan_unmet_need</f>
        <v>0.78500000000000003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0.41610533435020436</v>
      </c>
      <c r="M25" s="62">
        <f>(1-food_insecure)*(0.49)+food_insecure*(0.7)</f>
        <v>0.56412999999999991</v>
      </c>
      <c r="N25" s="62">
        <f>(1-food_insecure)*(0.49)+food_insecure*(0.7)</f>
        <v>0.56412999999999991</v>
      </c>
      <c r="O25" s="62">
        <f>(1-food_insecure)*(0.49)+food_insecure*(0.7)</f>
        <v>0.56412999999999991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0.17833085757865902</v>
      </c>
      <c r="M26" s="62">
        <f>(1-food_insecure)*(0.21)+food_insecure*(0.3)</f>
        <v>0.24176999999999998</v>
      </c>
      <c r="N26" s="62">
        <f>(1-food_insecure)*(0.21)+food_insecure*(0.3)</f>
        <v>0.24176999999999998</v>
      </c>
      <c r="O26" s="62">
        <f>(1-food_insecure)*(0.21)+food_insecure*(0.3)</f>
        <v>0.24176999999999998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0.14316920815658565</v>
      </c>
      <c r="M27" s="62">
        <f>(1-food_insecure)*(0.3)</f>
        <v>0.19409999999999999</v>
      </c>
      <c r="N27" s="62">
        <f>(1-food_insecure)*(0.3)</f>
        <v>0.19409999999999999</v>
      </c>
      <c r="O27" s="62">
        <f>(1-food_insecure)*(0.3)</f>
        <v>0.19409999999999999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0.262394599914551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0.99</v>
      </c>
      <c r="D34" s="62">
        <f t="shared" si="3"/>
        <v>0.99</v>
      </c>
      <c r="E34" s="62">
        <f t="shared" si="3"/>
        <v>0.99</v>
      </c>
      <c r="F34" s="62">
        <f t="shared" si="3"/>
        <v>0.99</v>
      </c>
      <c r="G34" s="62">
        <f t="shared" si="3"/>
        <v>0.99</v>
      </c>
      <c r="H34" s="62">
        <f t="shared" si="3"/>
        <v>0.99</v>
      </c>
      <c r="I34" s="62">
        <f t="shared" si="3"/>
        <v>0.99</v>
      </c>
      <c r="J34" s="62">
        <f t="shared" si="3"/>
        <v>0.99</v>
      </c>
      <c r="K34" s="62">
        <f t="shared" si="3"/>
        <v>0.99</v>
      </c>
      <c r="L34" s="62">
        <f t="shared" si="3"/>
        <v>0.99</v>
      </c>
      <c r="M34" s="62">
        <f t="shared" si="3"/>
        <v>0.99</v>
      </c>
      <c r="N34" s="62">
        <f t="shared" si="3"/>
        <v>0.99</v>
      </c>
      <c r="O34" s="62">
        <f t="shared" si="3"/>
        <v>0.99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476201.21199999988</v>
      </c>
      <c r="C2" s="50">
        <v>749000</v>
      </c>
      <c r="D2" s="50">
        <v>1193000</v>
      </c>
      <c r="E2" s="50">
        <v>847000</v>
      </c>
      <c r="F2" s="50">
        <v>570000</v>
      </c>
      <c r="G2" s="17">
        <f t="shared" ref="G2:G16" si="0">C2+D2+E2+F2</f>
        <v>3359000</v>
      </c>
      <c r="H2" s="17">
        <f t="shared" ref="H2:H40" si="1">(B2 + stillbirth*B2/(1000-stillbirth))/(1-abortion)</f>
        <v>555128.2480391477</v>
      </c>
      <c r="I2" s="17">
        <f t="shared" ref="I2:I40" si="2">G2-H2</f>
        <v>2803871.7519608522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482486.48999999987</v>
      </c>
      <c r="C3" s="50">
        <v>769000</v>
      </c>
      <c r="D3" s="50">
        <v>1227000</v>
      </c>
      <c r="E3" s="50">
        <v>874000</v>
      </c>
      <c r="F3" s="50">
        <v>591000</v>
      </c>
      <c r="G3" s="17">
        <f t="shared" si="0"/>
        <v>3461000</v>
      </c>
      <c r="H3" s="17">
        <f t="shared" si="1"/>
        <v>562455.26711565303</v>
      </c>
      <c r="I3" s="17">
        <f t="shared" si="2"/>
        <v>2898544.732884347</v>
      </c>
    </row>
    <row r="4" spans="1:9" ht="15.75" customHeight="1" x14ac:dyDescent="0.25">
      <c r="A4" s="5">
        <f t="shared" si="3"/>
        <v>2023</v>
      </c>
      <c r="B4" s="49">
        <v>488697.91319999989</v>
      </c>
      <c r="C4" s="50">
        <v>789000</v>
      </c>
      <c r="D4" s="50">
        <v>1263000</v>
      </c>
      <c r="E4" s="50">
        <v>904000</v>
      </c>
      <c r="F4" s="50">
        <v>612000</v>
      </c>
      <c r="G4" s="17">
        <f t="shared" si="0"/>
        <v>3568000</v>
      </c>
      <c r="H4" s="17">
        <f t="shared" si="1"/>
        <v>569696.19047316385</v>
      </c>
      <c r="I4" s="17">
        <f t="shared" si="2"/>
        <v>2998303.809526836</v>
      </c>
    </row>
    <row r="5" spans="1:9" ht="15.75" customHeight="1" x14ac:dyDescent="0.25">
      <c r="A5" s="5">
        <f t="shared" si="3"/>
        <v>2024</v>
      </c>
      <c r="B5" s="49">
        <v>494826.72879999981</v>
      </c>
      <c r="C5" s="50">
        <v>810000</v>
      </c>
      <c r="D5" s="50">
        <v>1298000</v>
      </c>
      <c r="E5" s="50">
        <v>933000</v>
      </c>
      <c r="F5" s="50">
        <v>635000</v>
      </c>
      <c r="G5" s="17">
        <f t="shared" si="0"/>
        <v>3676000</v>
      </c>
      <c r="H5" s="17">
        <f t="shared" si="1"/>
        <v>576840.81459600828</v>
      </c>
      <c r="I5" s="17">
        <f t="shared" si="2"/>
        <v>3099159.1854039915</v>
      </c>
    </row>
    <row r="6" spans="1:9" ht="15.75" customHeight="1" x14ac:dyDescent="0.25">
      <c r="A6" s="5">
        <f t="shared" si="3"/>
        <v>2025</v>
      </c>
      <c r="B6" s="49">
        <v>500864.18400000001</v>
      </c>
      <c r="C6" s="50">
        <v>829000</v>
      </c>
      <c r="D6" s="50">
        <v>1336000</v>
      </c>
      <c r="E6" s="50">
        <v>963000</v>
      </c>
      <c r="F6" s="50">
        <v>659000</v>
      </c>
      <c r="G6" s="17">
        <f t="shared" si="0"/>
        <v>3787000</v>
      </c>
      <c r="H6" s="17">
        <f t="shared" si="1"/>
        <v>583878.93596851523</v>
      </c>
      <c r="I6" s="17">
        <f t="shared" si="2"/>
        <v>3203121.0640314845</v>
      </c>
    </row>
    <row r="7" spans="1:9" ht="15.75" customHeight="1" x14ac:dyDescent="0.25">
      <c r="A7" s="5">
        <f t="shared" si="3"/>
        <v>2026</v>
      </c>
      <c r="B7" s="49">
        <v>507080.33839999989</v>
      </c>
      <c r="C7" s="50">
        <v>848000</v>
      </c>
      <c r="D7" s="50">
        <v>1374000</v>
      </c>
      <c r="E7" s="50">
        <v>994000</v>
      </c>
      <c r="F7" s="50">
        <v>683000</v>
      </c>
      <c r="G7" s="17">
        <f t="shared" si="0"/>
        <v>3899000</v>
      </c>
      <c r="H7" s="17">
        <f t="shared" si="1"/>
        <v>591125.37468949181</v>
      </c>
      <c r="I7" s="17">
        <f t="shared" si="2"/>
        <v>3307874.6253105081</v>
      </c>
    </row>
    <row r="8" spans="1:9" ht="15.75" customHeight="1" x14ac:dyDescent="0.25">
      <c r="A8" s="5">
        <f t="shared" si="3"/>
        <v>2027</v>
      </c>
      <c r="B8" s="49">
        <v>513172.6544</v>
      </c>
      <c r="C8" s="50">
        <v>867000</v>
      </c>
      <c r="D8" s="50">
        <v>1412000</v>
      </c>
      <c r="E8" s="50">
        <v>1025000</v>
      </c>
      <c r="F8" s="50">
        <v>707000</v>
      </c>
      <c r="G8" s="17">
        <f t="shared" si="0"/>
        <v>4011000</v>
      </c>
      <c r="H8" s="17">
        <f t="shared" si="1"/>
        <v>598227.4496577112</v>
      </c>
      <c r="I8" s="17">
        <f t="shared" si="2"/>
        <v>3412772.5503422888</v>
      </c>
    </row>
    <row r="9" spans="1:9" ht="15.75" customHeight="1" x14ac:dyDescent="0.25">
      <c r="A9" s="5">
        <f t="shared" si="3"/>
        <v>2028</v>
      </c>
      <c r="B9" s="49">
        <v>519133.97879999992</v>
      </c>
      <c r="C9" s="50">
        <v>886000</v>
      </c>
      <c r="D9" s="50">
        <v>1451000</v>
      </c>
      <c r="E9" s="50">
        <v>1056000</v>
      </c>
      <c r="F9" s="50">
        <v>732000</v>
      </c>
      <c r="G9" s="17">
        <f t="shared" si="0"/>
        <v>4125000</v>
      </c>
      <c r="H9" s="17">
        <f t="shared" si="1"/>
        <v>605176.82208006654</v>
      </c>
      <c r="I9" s="17">
        <f t="shared" si="2"/>
        <v>3519823.1779199336</v>
      </c>
    </row>
    <row r="10" spans="1:9" ht="15.75" customHeight="1" x14ac:dyDescent="0.25">
      <c r="A10" s="5">
        <f t="shared" si="3"/>
        <v>2029</v>
      </c>
      <c r="B10" s="49">
        <v>524957.15839999996</v>
      </c>
      <c r="C10" s="50">
        <v>905000</v>
      </c>
      <c r="D10" s="50">
        <v>1492000</v>
      </c>
      <c r="E10" s="50">
        <v>1089000</v>
      </c>
      <c r="F10" s="50">
        <v>758000</v>
      </c>
      <c r="G10" s="17">
        <f t="shared" si="0"/>
        <v>4244000</v>
      </c>
      <c r="H10" s="17">
        <f t="shared" si="1"/>
        <v>611965.1531634517</v>
      </c>
      <c r="I10" s="17">
        <f t="shared" si="2"/>
        <v>3632034.8468365483</v>
      </c>
    </row>
    <row r="11" spans="1:9" ht="15.75" customHeight="1" x14ac:dyDescent="0.25">
      <c r="A11" s="5">
        <f t="shared" si="3"/>
        <v>2030</v>
      </c>
      <c r="B11" s="49">
        <v>530604.94499999995</v>
      </c>
      <c r="C11" s="50">
        <v>924000</v>
      </c>
      <c r="D11" s="50">
        <v>1532000</v>
      </c>
      <c r="E11" s="50">
        <v>1123000</v>
      </c>
      <c r="F11" s="50">
        <v>786000</v>
      </c>
      <c r="G11" s="17">
        <f t="shared" si="0"/>
        <v>4365000</v>
      </c>
      <c r="H11" s="17">
        <f t="shared" si="1"/>
        <v>618549.02107800264</v>
      </c>
      <c r="I11" s="17">
        <f t="shared" si="2"/>
        <v>3746450.9789219974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3.8567301572483962E-3</v>
      </c>
    </row>
    <row r="4" spans="1:8" ht="15.75" customHeight="1" x14ac:dyDescent="0.25">
      <c r="B4" s="19" t="s">
        <v>69</v>
      </c>
      <c r="C4" s="51">
        <v>0.18385578804925301</v>
      </c>
    </row>
    <row r="5" spans="1:8" ht="15.75" customHeight="1" x14ac:dyDescent="0.25">
      <c r="B5" s="19" t="s">
        <v>70</v>
      </c>
      <c r="C5" s="51">
        <v>7.1126700804081289E-2</v>
      </c>
    </row>
    <row r="6" spans="1:8" ht="15.75" customHeight="1" x14ac:dyDescent="0.25">
      <c r="B6" s="19" t="s">
        <v>71</v>
      </c>
      <c r="C6" s="51">
        <v>0.30847631881574611</v>
      </c>
    </row>
    <row r="7" spans="1:8" ht="15.75" customHeight="1" x14ac:dyDescent="0.25">
      <c r="B7" s="19" t="s">
        <v>72</v>
      </c>
      <c r="C7" s="51">
        <v>0.268402707109134</v>
      </c>
    </row>
    <row r="8" spans="1:8" ht="15.75" customHeight="1" x14ac:dyDescent="0.25">
      <c r="B8" s="19" t="s">
        <v>73</v>
      </c>
      <c r="C8" s="51">
        <v>7.1746263396192354E-3</v>
      </c>
    </row>
    <row r="9" spans="1:8" ht="15.75" customHeight="1" x14ac:dyDescent="0.25">
      <c r="B9" s="19" t="s">
        <v>74</v>
      </c>
      <c r="C9" s="51">
        <v>7.3449851184533302E-2</v>
      </c>
    </row>
    <row r="10" spans="1:8" ht="15.75" customHeight="1" x14ac:dyDescent="0.25">
      <c r="B10" s="19" t="s">
        <v>75</v>
      </c>
      <c r="C10" s="51">
        <v>8.3657277540384906E-2</v>
      </c>
    </row>
    <row r="11" spans="1:8" ht="15.75" customHeight="1" x14ac:dyDescent="0.25">
      <c r="B11" s="27" t="s">
        <v>30</v>
      </c>
      <c r="C11" s="47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0.1207922878189964</v>
      </c>
      <c r="D14" s="51">
        <v>0.1207922878189964</v>
      </c>
      <c r="E14" s="51">
        <v>0.1207922878189964</v>
      </c>
      <c r="F14" s="51">
        <v>0.1207922878189964</v>
      </c>
    </row>
    <row r="15" spans="1:8" ht="15.75" customHeight="1" x14ac:dyDescent="0.25">
      <c r="B15" s="19" t="s">
        <v>82</v>
      </c>
      <c r="C15" s="51">
        <v>0.22657811885152371</v>
      </c>
      <c r="D15" s="51">
        <v>0.22657811885152371</v>
      </c>
      <c r="E15" s="51">
        <v>0.22657811885152371</v>
      </c>
      <c r="F15" s="51">
        <v>0.22657811885152371</v>
      </c>
    </row>
    <row r="16" spans="1:8" ht="15.75" customHeight="1" x14ac:dyDescent="0.25">
      <c r="B16" s="19" t="s">
        <v>83</v>
      </c>
      <c r="C16" s="51">
        <v>4.0977695126081917E-2</v>
      </c>
      <c r="D16" s="51">
        <v>4.0977695126081917E-2</v>
      </c>
      <c r="E16" s="51">
        <v>4.0977695126081917E-2</v>
      </c>
      <c r="F16" s="51">
        <v>4.0977695126081917E-2</v>
      </c>
    </row>
    <row r="17" spans="1:8" ht="15.75" customHeight="1" x14ac:dyDescent="0.25">
      <c r="B17" s="19" t="s">
        <v>84</v>
      </c>
      <c r="C17" s="51">
        <v>4.817557717551206E-2</v>
      </c>
      <c r="D17" s="51">
        <v>4.817557717551206E-2</v>
      </c>
      <c r="E17" s="51">
        <v>4.817557717551206E-2</v>
      </c>
      <c r="F17" s="51">
        <v>4.817557717551206E-2</v>
      </c>
    </row>
    <row r="18" spans="1:8" ht="15.75" customHeight="1" x14ac:dyDescent="0.25">
      <c r="B18" s="19" t="s">
        <v>85</v>
      </c>
      <c r="C18" s="51">
        <v>0.22705297909323749</v>
      </c>
      <c r="D18" s="51">
        <v>0.22705297909323749</v>
      </c>
      <c r="E18" s="51">
        <v>0.22705297909323749</v>
      </c>
      <c r="F18" s="51">
        <v>0.22705297909323749</v>
      </c>
    </row>
    <row r="19" spans="1:8" ht="15.75" customHeight="1" x14ac:dyDescent="0.25">
      <c r="B19" s="19" t="s">
        <v>86</v>
      </c>
      <c r="C19" s="51">
        <v>1.8222052480891478E-2</v>
      </c>
      <c r="D19" s="51">
        <v>1.8222052480891478E-2</v>
      </c>
      <c r="E19" s="51">
        <v>1.8222052480891478E-2</v>
      </c>
      <c r="F19" s="51">
        <v>1.8222052480891478E-2</v>
      </c>
    </row>
    <row r="20" spans="1:8" ht="15.75" customHeight="1" x14ac:dyDescent="0.25">
      <c r="B20" s="19" t="s">
        <v>87</v>
      </c>
      <c r="C20" s="51">
        <v>1.5761349705215422E-2</v>
      </c>
      <c r="D20" s="51">
        <v>1.5761349705215422E-2</v>
      </c>
      <c r="E20" s="51">
        <v>1.5761349705215422E-2</v>
      </c>
      <c r="F20" s="51">
        <v>1.5761349705215422E-2</v>
      </c>
    </row>
    <row r="21" spans="1:8" ht="15.75" customHeight="1" x14ac:dyDescent="0.25">
      <c r="B21" s="19" t="s">
        <v>88</v>
      </c>
      <c r="C21" s="51">
        <v>7.0963165160879055E-2</v>
      </c>
      <c r="D21" s="51">
        <v>7.0963165160879055E-2</v>
      </c>
      <c r="E21" s="51">
        <v>7.0963165160879055E-2</v>
      </c>
      <c r="F21" s="51">
        <v>7.0963165160879055E-2</v>
      </c>
    </row>
    <row r="22" spans="1:8" ht="15.75" customHeight="1" x14ac:dyDescent="0.25">
      <c r="B22" s="19" t="s">
        <v>89</v>
      </c>
      <c r="C22" s="51">
        <v>0.2314767745876623</v>
      </c>
      <c r="D22" s="51">
        <v>0.2314767745876623</v>
      </c>
      <c r="E22" s="51">
        <v>0.2314767745876623</v>
      </c>
      <c r="F22" s="51">
        <v>0.2314767745876623</v>
      </c>
    </row>
    <row r="23" spans="1:8" ht="15.75" customHeight="1" x14ac:dyDescent="0.25">
      <c r="B23" s="27" t="s">
        <v>30</v>
      </c>
      <c r="C23" s="47">
        <f>SUM(C14:C22)</f>
        <v>0.99999999999999978</v>
      </c>
      <c r="D23" s="47">
        <f>SUM(D14:D22)</f>
        <v>0.99999999999999978</v>
      </c>
      <c r="E23" s="47">
        <f>SUM(E14:E22)</f>
        <v>0.99999999999999978</v>
      </c>
      <c r="F23" s="47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8.8245948000000005E-2</v>
      </c>
    </row>
    <row r="27" spans="1:8" ht="15.75" customHeight="1" x14ac:dyDescent="0.25">
      <c r="B27" s="19" t="s">
        <v>92</v>
      </c>
      <c r="C27" s="51">
        <v>8.6324339999999996E-3</v>
      </c>
    </row>
    <row r="28" spans="1:8" ht="15.75" customHeight="1" x14ac:dyDescent="0.25">
      <c r="B28" s="19" t="s">
        <v>93</v>
      </c>
      <c r="C28" s="51">
        <v>0.156169268</v>
      </c>
    </row>
    <row r="29" spans="1:8" ht="15.75" customHeight="1" x14ac:dyDescent="0.25">
      <c r="B29" s="19" t="s">
        <v>94</v>
      </c>
      <c r="C29" s="51">
        <v>0.169329655</v>
      </c>
    </row>
    <row r="30" spans="1:8" ht="15.75" customHeight="1" x14ac:dyDescent="0.25">
      <c r="B30" s="19" t="s">
        <v>95</v>
      </c>
      <c r="C30" s="51">
        <v>0.10546003399999999</v>
      </c>
    </row>
    <row r="31" spans="1:8" ht="15.75" customHeight="1" x14ac:dyDescent="0.25">
      <c r="B31" s="19" t="s">
        <v>96</v>
      </c>
      <c r="C31" s="51">
        <v>0.109941625</v>
      </c>
    </row>
    <row r="32" spans="1:8" ht="15.75" customHeight="1" x14ac:dyDescent="0.25">
      <c r="B32" s="19" t="s">
        <v>97</v>
      </c>
      <c r="C32" s="51">
        <v>1.8686595E-2</v>
      </c>
    </row>
    <row r="33" spans="2:3" ht="15.75" customHeight="1" x14ac:dyDescent="0.25">
      <c r="B33" s="19" t="s">
        <v>98</v>
      </c>
      <c r="C33" s="51">
        <v>8.470502299999999E-2</v>
      </c>
    </row>
    <row r="34" spans="2:3" ht="15.75" customHeight="1" x14ac:dyDescent="0.25">
      <c r="B34" s="19" t="s">
        <v>99</v>
      </c>
      <c r="C34" s="51">
        <v>0.25882941799999998</v>
      </c>
    </row>
    <row r="35" spans="2:3" ht="15.75" customHeight="1" x14ac:dyDescent="0.25">
      <c r="B35" s="27" t="s">
        <v>30</v>
      </c>
      <c r="C35" s="47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0.44138436247213386</v>
      </c>
      <c r="D2" s="52">
        <f>IFERROR(1-_xlfn.NORM.DIST(_xlfn.NORM.INV(SUM(D4:D5), 0, 1) + 1, 0, 1, TRUE), "")</f>
        <v>0.44138436247213386</v>
      </c>
      <c r="E2" s="52">
        <f>IFERROR(1-_xlfn.NORM.DIST(_xlfn.NORM.INV(SUM(E4:E5), 0, 1) + 1, 0, 1, TRUE), "")</f>
        <v>0.40399949357563569</v>
      </c>
      <c r="F2" s="52">
        <f>IFERROR(1-_xlfn.NORM.DIST(_xlfn.NORM.INV(SUM(F4:F5), 0, 1) + 1, 0, 1, TRUE), "")</f>
        <v>0.26945717789200974</v>
      </c>
      <c r="G2" s="52">
        <f>IFERROR(1-_xlfn.NORM.DIST(_xlfn.NORM.INV(SUM(G4:G5), 0, 1) + 1, 0, 1, TRUE), "")</f>
        <v>0.28623629575324205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0.36165833452786611</v>
      </c>
      <c r="D3" s="52">
        <f>IFERROR(_xlfn.NORM.DIST(_xlfn.NORM.INV(SUM(D4:D5), 0, 1) + 1, 0, 1, TRUE) - SUM(D4:D5), "")</f>
        <v>0.36165833452786611</v>
      </c>
      <c r="E3" s="52">
        <f>IFERROR(_xlfn.NORM.DIST(_xlfn.NORM.INV(SUM(E4:E5), 0, 1) + 1, 0, 1, TRUE) - SUM(E4:E5), "")</f>
        <v>0.37147309642436432</v>
      </c>
      <c r="F3" s="52">
        <f>IFERROR(_xlfn.NORM.DIST(_xlfn.NORM.INV(SUM(F4:F5), 0, 1) + 1, 0, 1, TRUE) - SUM(F4:F5), "")</f>
        <v>0.3806257921079903</v>
      </c>
      <c r="G3" s="52">
        <f>IFERROR(_xlfn.NORM.DIST(_xlfn.NORM.INV(SUM(G4:G5), 0, 1) + 1, 0, 1, TRUE) - SUM(G4:G5), "")</f>
        <v>0.38219523424675794</v>
      </c>
    </row>
    <row r="4" spans="1:15" ht="15.75" customHeight="1" x14ac:dyDescent="0.25">
      <c r="B4" s="5" t="s">
        <v>104</v>
      </c>
      <c r="C4" s="53">
        <v>0.10408557</v>
      </c>
      <c r="D4" s="53">
        <v>0.10408557</v>
      </c>
      <c r="E4" s="53">
        <v>0.12017131</v>
      </c>
      <c r="F4" s="53">
        <v>0.17670057</v>
      </c>
      <c r="G4" s="53">
        <v>0.19384651</v>
      </c>
    </row>
    <row r="5" spans="1:15" ht="15.75" customHeight="1" x14ac:dyDescent="0.25">
      <c r="B5" s="5" t="s">
        <v>105</v>
      </c>
      <c r="C5" s="53">
        <v>9.2871732999999998E-2</v>
      </c>
      <c r="D5" s="53">
        <v>9.2871732999999998E-2</v>
      </c>
      <c r="E5" s="53">
        <v>0.10435609999999999</v>
      </c>
      <c r="F5" s="53">
        <v>0.17321645999999999</v>
      </c>
      <c r="G5" s="53">
        <v>0.13772196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0.5424401985466174</v>
      </c>
      <c r="D8" s="52">
        <f>IFERROR(1-_xlfn.NORM.DIST(_xlfn.NORM.INV(SUM(D10:D11), 0, 1) + 1, 0, 1, TRUE), "")</f>
        <v>0.5424401985466174</v>
      </c>
      <c r="E8" s="52">
        <f>IFERROR(1-_xlfn.NORM.DIST(_xlfn.NORM.INV(SUM(E10:E11), 0, 1) + 1, 0, 1, TRUE), "")</f>
        <v>0.61521819818612711</v>
      </c>
      <c r="F8" s="52">
        <f>IFERROR(1-_xlfn.NORM.DIST(_xlfn.NORM.INV(SUM(F10:F11), 0, 1) + 1, 0, 1, TRUE), "")</f>
        <v>0.63377069378058648</v>
      </c>
      <c r="G8" s="52">
        <f>IFERROR(1-_xlfn.NORM.DIST(_xlfn.NORM.INV(SUM(G10:G11), 0, 1) + 1, 0, 1, TRUE), "")</f>
        <v>0.65445372976936689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0.32332272645338267</v>
      </c>
      <c r="D9" s="52">
        <f>IFERROR(_xlfn.NORM.DIST(_xlfn.NORM.INV(SUM(D10:D11), 0, 1) + 1, 0, 1, TRUE) - SUM(D10:D11), "")</f>
        <v>0.32332272645338267</v>
      </c>
      <c r="E9" s="52">
        <f>IFERROR(_xlfn.NORM.DIST(_xlfn.NORM.INV(SUM(E10:E11), 0, 1) + 1, 0, 1, TRUE) - SUM(E10:E11), "")</f>
        <v>0.28676689381387283</v>
      </c>
      <c r="F9" s="52">
        <f>IFERROR(_xlfn.NORM.DIST(_xlfn.NORM.INV(SUM(F10:F11), 0, 1) + 1, 0, 1, TRUE) - SUM(F10:F11), "")</f>
        <v>0.2764081012194135</v>
      </c>
      <c r="G9" s="52">
        <f>IFERROR(_xlfn.NORM.DIST(_xlfn.NORM.INV(SUM(G10:G11), 0, 1) + 1, 0, 1, TRUE) - SUM(G10:G11), "")</f>
        <v>0.26439552923063314</v>
      </c>
    </row>
    <row r="10" spans="1:15" ht="15.75" customHeight="1" x14ac:dyDescent="0.25">
      <c r="B10" s="5" t="s">
        <v>109</v>
      </c>
      <c r="C10" s="53">
        <v>8.0077143000000003E-2</v>
      </c>
      <c r="D10" s="53">
        <v>8.0077143000000003E-2</v>
      </c>
      <c r="E10" s="53">
        <v>5.4574961999999998E-2</v>
      </c>
      <c r="F10" s="53">
        <v>5.8409919999999997E-2</v>
      </c>
      <c r="G10" s="53">
        <v>4.8628082000000003E-2</v>
      </c>
    </row>
    <row r="11" spans="1:15" ht="15.75" customHeight="1" x14ac:dyDescent="0.25">
      <c r="B11" s="5" t="s">
        <v>110</v>
      </c>
      <c r="C11" s="53">
        <v>5.4159932000000001E-2</v>
      </c>
      <c r="D11" s="53">
        <v>5.4159932000000001E-2</v>
      </c>
      <c r="E11" s="53">
        <v>4.3439946E-2</v>
      </c>
      <c r="F11" s="53">
        <v>3.1411284999999997E-2</v>
      </c>
      <c r="G11" s="53">
        <v>3.2522659000000002E-2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0.80740865400000006</v>
      </c>
      <c r="D14" s="54">
        <v>0.79280759528</v>
      </c>
      <c r="E14" s="54">
        <v>0.79280759528</v>
      </c>
      <c r="F14" s="54">
        <v>0.78136551429400003</v>
      </c>
      <c r="G14" s="54">
        <v>0.78136551429400003</v>
      </c>
      <c r="H14" s="55">
        <v>0.61399999999999999</v>
      </c>
      <c r="I14" s="55">
        <v>0.61399999999999999</v>
      </c>
      <c r="J14" s="55">
        <v>0.61399999999999999</v>
      </c>
      <c r="K14" s="55">
        <v>0.61399999999999999</v>
      </c>
      <c r="L14" s="55">
        <v>0.43099999999999999</v>
      </c>
      <c r="M14" s="55">
        <v>0.43099999999999999</v>
      </c>
      <c r="N14" s="55">
        <v>0.43099999999999999</v>
      </c>
      <c r="O14" s="55">
        <v>0.43099999999999999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0.33298824744806405</v>
      </c>
      <c r="D15" s="52">
        <f t="shared" si="0"/>
        <v>0.32696653721499647</v>
      </c>
      <c r="E15" s="52">
        <f t="shared" si="0"/>
        <v>0.32696653721499647</v>
      </c>
      <c r="F15" s="52">
        <f t="shared" si="0"/>
        <v>0.32224763994307432</v>
      </c>
      <c r="G15" s="52">
        <f t="shared" si="0"/>
        <v>0.32224763994307432</v>
      </c>
      <c r="H15" s="52">
        <f t="shared" si="0"/>
        <v>0.25322342399999997</v>
      </c>
      <c r="I15" s="52">
        <f t="shared" si="0"/>
        <v>0.25322342399999997</v>
      </c>
      <c r="J15" s="52">
        <f t="shared" si="0"/>
        <v>0.25322342399999997</v>
      </c>
      <c r="K15" s="52">
        <f t="shared" si="0"/>
        <v>0.25322342399999997</v>
      </c>
      <c r="L15" s="52">
        <f t="shared" si="0"/>
        <v>0.177751296</v>
      </c>
      <c r="M15" s="52">
        <f t="shared" si="0"/>
        <v>0.177751296</v>
      </c>
      <c r="N15" s="52">
        <f t="shared" si="0"/>
        <v>0.177751296</v>
      </c>
      <c r="O15" s="52">
        <f t="shared" si="0"/>
        <v>0.177751296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0.45601320000000001</v>
      </c>
      <c r="D2" s="53">
        <v>0.2905181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0.3316151</v>
      </c>
      <c r="D3" s="53">
        <v>0.38545059999999998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0.1414513</v>
      </c>
      <c r="D4" s="53">
        <v>0.24034440000000001</v>
      </c>
      <c r="E4" s="53">
        <v>0.97679674625396695</v>
      </c>
      <c r="F4" s="53">
        <v>0.79694944620132402</v>
      </c>
      <c r="G4" s="53">
        <v>0</v>
      </c>
    </row>
    <row r="5" spans="1:7" x14ac:dyDescent="0.25">
      <c r="B5" s="3" t="s">
        <v>122</v>
      </c>
      <c r="C5" s="52">
        <v>7.092039E-2</v>
      </c>
      <c r="D5" s="52">
        <v>8.3686839999999998E-2</v>
      </c>
      <c r="E5" s="52">
        <f>1-SUM(E2:E4)</f>
        <v>2.3203253746033048E-2</v>
      </c>
      <c r="F5" s="52">
        <f>1-SUM(F2:F4)</f>
        <v>0.20305055379867598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2023-01-17T02:32:56Z</dcterms:modified>
</cp:coreProperties>
</file>