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186F412B-B401-44F6-8A23-952C4CCF2FAE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12" i="2" l="1"/>
  <c r="A36" i="2"/>
  <c r="A3" i="2"/>
  <c r="A16" i="2"/>
  <c r="A24" i="2"/>
  <c r="A32" i="2"/>
  <c r="A17" i="2"/>
  <c r="A25" i="2"/>
  <c r="A33" i="2"/>
  <c r="A20" i="2"/>
  <c r="A18" i="2"/>
  <c r="A26" i="2"/>
  <c r="A34" i="2"/>
  <c r="A39" i="2"/>
  <c r="A19" i="2"/>
  <c r="A27" i="2"/>
  <c r="A35" i="2"/>
  <c r="A21" i="2"/>
  <c r="A37" i="2"/>
  <c r="A14" i="2"/>
  <c r="A22" i="2"/>
  <c r="A30" i="2"/>
  <c r="A38" i="2"/>
  <c r="A40" i="2"/>
  <c r="D58" i="20"/>
  <c r="A4" i="2"/>
  <c r="A5" i="2" s="1"/>
  <c r="A6" i="2" s="1"/>
  <c r="A7" i="2" s="1"/>
  <c r="A8" i="2" s="1"/>
  <c r="A9" i="2" s="1"/>
  <c r="A10" i="2" s="1"/>
  <c r="A11" i="2" s="1"/>
  <c r="A28" i="2"/>
  <c r="A13" i="2"/>
  <c r="A29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<sst xmlns="http://schemas.openxmlformats.org/spreadsheetml/2006/main" count="2092" uniqueCount="337">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</sst>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5615509.4375</v>
      </c>
    </row>
    <row r="8" spans="1:3" ht="15" customHeight="1" x14ac:dyDescent="0.25">
      <c r="B8" s="6" t="s">
        <v>8</v>
      </c>
      <c r="C8" s="42">
        <v>0.45</v>
      </c>
    </row>
    <row r="9" spans="1:3" ht="15" customHeight="1" x14ac:dyDescent="0.25">
      <c r="B9" s="6" t="s">
        <v>9</v>
      </c>
      <c r="C9" s="43">
        <v>3.2400000000000012E-2</v>
      </c>
    </row>
    <row r="10" spans="1:3" ht="15" customHeight="1" x14ac:dyDescent="0.25">
      <c r="B10" s="6" t="s">
        <v>10</v>
      </c>
      <c r="C10" s="43">
        <v>0.36149230957031298</v>
      </c>
    </row>
    <row r="11" spans="1:3" ht="15" customHeight="1" x14ac:dyDescent="0.25">
      <c r="B11" s="6" t="s">
        <v>11</v>
      </c>
      <c r="C11" s="42">
        <v>0.17799999999999999</v>
      </c>
    </row>
    <row r="12" spans="1:3" ht="15" customHeight="1" x14ac:dyDescent="0.25">
      <c r="B12" s="6" t="s">
        <v>12</v>
      </c>
      <c r="C12" s="42">
        <v>0.61499999999999999</v>
      </c>
    </row>
    <row r="13" spans="1:3" ht="15" customHeight="1" x14ac:dyDescent="0.25">
      <c r="B13" s="6" t="s">
        <v>13</v>
      </c>
      <c r="C13" s="42">
        <v>0.57899999999999996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8.48E-2</v>
      </c>
    </row>
    <row r="24" spans="1:3" ht="15" customHeight="1" x14ac:dyDescent="0.25">
      <c r="B24" s="11" t="s">
        <v>22</v>
      </c>
      <c r="C24" s="43">
        <v>0.49769999999999998</v>
      </c>
    </row>
    <row r="25" spans="1:3" ht="15" customHeight="1" x14ac:dyDescent="0.25">
      <c r="B25" s="11" t="s">
        <v>23</v>
      </c>
      <c r="C25" s="43">
        <v>0.3468</v>
      </c>
    </row>
    <row r="26" spans="1:3" ht="15" customHeight="1" x14ac:dyDescent="0.25">
      <c r="B26" s="11" t="s">
        <v>24</v>
      </c>
      <c r="C26" s="43">
        <v>7.0699999999999999E-2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0.192340814766396</v>
      </c>
    </row>
    <row r="30" spans="1:3" ht="14.25" customHeight="1" x14ac:dyDescent="0.25">
      <c r="B30" s="21" t="s">
        <v>27</v>
      </c>
      <c r="C30" s="45">
        <v>9.447220278431899E-2</v>
      </c>
    </row>
    <row r="31" spans="1:3" ht="14.25" customHeight="1" x14ac:dyDescent="0.25">
      <c r="B31" s="21" t="s">
        <v>28</v>
      </c>
      <c r="C31" s="45">
        <v>0.167430435799206</v>
      </c>
    </row>
    <row r="32" spans="1:3" ht="14.25" customHeight="1" x14ac:dyDescent="0.25">
      <c r="B32" s="21" t="s">
        <v>29</v>
      </c>
      <c r="C32" s="45">
        <v>0.54575654665008</v>
      </c>
    </row>
    <row r="33" spans="1:5" ht="13.2" customHeight="1" x14ac:dyDescent="0.25">
      <c r="B33" s="23" t="s">
        <v>30</v>
      </c>
      <c r="C33" s="46">
        <f>SUM(C29:C32)</f>
        <v>1.0000000000000009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35.8628812848238</v>
      </c>
    </row>
    <row r="38" spans="1:5" ht="15" customHeight="1" x14ac:dyDescent="0.25">
      <c r="B38" s="27" t="s">
        <v>34</v>
      </c>
      <c r="C38" s="100">
        <v>46.5128248805674</v>
      </c>
      <c r="D38" s="8"/>
      <c r="E38" s="9"/>
    </row>
    <row r="39" spans="1:5" ht="15" customHeight="1" x14ac:dyDescent="0.25">
      <c r="B39" s="27" t="s">
        <v>35</v>
      </c>
      <c r="C39" s="100">
        <v>60.269398860588403</v>
      </c>
      <c r="D39" s="8"/>
      <c r="E39" s="8"/>
    </row>
    <row r="40" spans="1:5" ht="15" customHeight="1" x14ac:dyDescent="0.25">
      <c r="B40" s="27" t="s">
        <v>36</v>
      </c>
      <c r="C40" s="100">
        <v>6.38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28.377780680000001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2.57375E-2</v>
      </c>
      <c r="D45" s="8"/>
    </row>
    <row r="46" spans="1:5" ht="15.75" customHeight="1" x14ac:dyDescent="0.25">
      <c r="B46" s="27" t="s">
        <v>41</v>
      </c>
      <c r="C46" s="43">
        <v>8.9717000000000005E-2</v>
      </c>
      <c r="D46" s="8"/>
    </row>
    <row r="47" spans="1:5" ht="15.75" customHeight="1" x14ac:dyDescent="0.25">
      <c r="B47" s="27" t="s">
        <v>42</v>
      </c>
      <c r="C47" s="43">
        <v>0.37392320000000001</v>
      </c>
      <c r="D47" s="8"/>
      <c r="E47" s="9"/>
    </row>
    <row r="48" spans="1:5" ht="15" customHeight="1" x14ac:dyDescent="0.25">
      <c r="B48" s="27" t="s">
        <v>43</v>
      </c>
      <c r="C48" s="44">
        <v>0.51062229999999997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2.2000000000000002</v>
      </c>
      <c r="D51" s="8"/>
    </row>
    <row r="52" spans="1:4" ht="15" customHeight="1" x14ac:dyDescent="0.25">
      <c r="B52" s="27" t="s">
        <v>46</v>
      </c>
      <c r="C52" s="47">
        <v>2.2000000000000002</v>
      </c>
    </row>
    <row r="53" spans="1:4" ht="15.75" customHeight="1" x14ac:dyDescent="0.25">
      <c r="B53" s="27" t="s">
        <v>47</v>
      </c>
      <c r="C53" s="47">
        <v>2.2000000000000002</v>
      </c>
    </row>
    <row r="54" spans="1:4" ht="15.75" customHeight="1" x14ac:dyDescent="0.25">
      <c r="B54" s="27" t="s">
        <v>48</v>
      </c>
      <c r="C54" s="47">
        <v>2.2000000000000002</v>
      </c>
    </row>
    <row r="55" spans="1:4" ht="15.75" customHeight="1" x14ac:dyDescent="0.25">
      <c r="B55" s="27" t="s">
        <v>49</v>
      </c>
      <c r="C55" s="47">
        <v>2.2000000000000002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2.1363636363636359E-2</v>
      </c>
    </row>
    <row r="59" spans="1:4" ht="15.75" customHeight="1" x14ac:dyDescent="0.25">
      <c r="B59" s="27" t="s">
        <v>52</v>
      </c>
      <c r="C59" s="42">
        <v>0.48581400000000002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0.14599999999999999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0.13828207735134501</v>
      </c>
      <c r="C2" s="99">
        <v>0.95</v>
      </c>
      <c r="D2" s="55">
        <v>35.180119803198373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54.64653115467285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56.177874626950199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0.18295608825211421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4.2850433177467201E-2</v>
      </c>
      <c r="C10" s="99">
        <v>0.95</v>
      </c>
      <c r="D10" s="55">
        <v>17.330280382167182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4.2850433177467201E-2</v>
      </c>
      <c r="C11" s="99">
        <v>0.95</v>
      </c>
      <c r="D11" s="55">
        <v>17.330280382167182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4.2850433177467201E-2</v>
      </c>
      <c r="C12" s="99">
        <v>0.95</v>
      </c>
      <c r="D12" s="55">
        <v>17.330280382167182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4.2850433177467201E-2</v>
      </c>
      <c r="C13" s="99">
        <v>0.95</v>
      </c>
      <c r="D13" s="55">
        <v>17.330280382167182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4.2850433177467201E-2</v>
      </c>
      <c r="C14" s="99">
        <v>0.95</v>
      </c>
      <c r="D14" s="55">
        <v>17.330280382167182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4.2850433177467201E-2</v>
      </c>
      <c r="C15" s="99">
        <v>0.95</v>
      </c>
      <c r="D15" s="55">
        <v>17.330280382167182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0.25634399313294071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4.0648990000000003E-2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0.93</v>
      </c>
      <c r="C18" s="99">
        <v>0.95</v>
      </c>
      <c r="D18" s="55">
        <v>1.4029197158578659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1.4029197158578659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0.48305609999999999</v>
      </c>
      <c r="C21" s="99">
        <v>0.95</v>
      </c>
      <c r="D21" s="55">
        <v>1.7527897966645061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29.517384791071638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5.6396812437985204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0.1221064379019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3.34206613184794E-2</v>
      </c>
      <c r="C27" s="99">
        <v>0.95</v>
      </c>
      <c r="D27" s="55">
        <v>25.052848461386919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0.434176100145511</v>
      </c>
      <c r="C29" s="99">
        <v>0.95</v>
      </c>
      <c r="D29" s="55">
        <v>61.497953409889362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3.2132728803104968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8.0000000000000002E-3</v>
      </c>
      <c r="C32" s="99">
        <v>0.95</v>
      </c>
      <c r="D32" s="55">
        <v>0.47407668456460789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0.30872723460197399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0.25988109999999998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</v>
      </c>
      <c r="C38" s="99">
        <v>0.95</v>
      </c>
      <c r="D38" s="55">
        <v>9.1972159117845038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0.21672737170199399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2.2000000000000002</v>
      </c>
      <c r="C2" s="17">
        <f>'Donnees pop de l''annee de ref'!C52</f>
        <v>2.2000000000000002</v>
      </c>
      <c r="D2" s="17">
        <f>'Donnees pop de l''annee de ref'!C53</f>
        <v>2.2000000000000002</v>
      </c>
      <c r="E2" s="17">
        <f>'Donnees pop de l''annee de ref'!C54</f>
        <v>2.2000000000000002</v>
      </c>
      <c r="F2" s="17">
        <f>'Donnees pop de l''annee de ref'!C55</f>
        <v>2.2000000000000002</v>
      </c>
    </row>
    <row r="3" spans="1:6" ht="15.75" customHeight="1" x14ac:dyDescent="0.25">
      <c r="A3" s="3" t="s">
        <v>203</v>
      </c>
      <c r="B3" s="17">
        <f>frac_mam_1month * 2.6</f>
        <v>0.21687307823148139</v>
      </c>
      <c r="C3" s="17">
        <f>frac_mam_1_5months * 2.6</f>
        <v>0.21687307823148139</v>
      </c>
      <c r="D3" s="17">
        <f>frac_mam_6_11months * 2.6</f>
        <v>0.22747089326963613</v>
      </c>
      <c r="E3" s="17">
        <f>frac_mam_12_23months * 2.6</f>
        <v>0.22028677790591786</v>
      </c>
      <c r="F3" s="17">
        <f>frac_mam_24_59months * 2.6</f>
        <v>0.16292941521529739</v>
      </c>
    </row>
    <row r="4" spans="1:6" ht="15.75" customHeight="1" x14ac:dyDescent="0.25">
      <c r="A4" s="3" t="s">
        <v>204</v>
      </c>
      <c r="B4" s="17">
        <f>frac_sam_1month * 2.6</f>
        <v>0.13623622441047503</v>
      </c>
      <c r="C4" s="17">
        <f>frac_sam_1_5months * 2.6</f>
        <v>0.13623622441047503</v>
      </c>
      <c r="D4" s="17">
        <f>frac_sam_6_11months * 2.6</f>
        <v>0.10579411827841896</v>
      </c>
      <c r="E4" s="17">
        <f>frac_sam_12_23months * 2.6</f>
        <v>8.8618239852306074E-2</v>
      </c>
      <c r="F4" s="17">
        <f>frac_sam_24_59months * 2.6</f>
        <v>5.485610173655768E-2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0.45</v>
      </c>
      <c r="E2" s="59">
        <f>food_insecure</f>
        <v>0.45</v>
      </c>
      <c r="F2" s="59">
        <f>food_insecure</f>
        <v>0.45</v>
      </c>
      <c r="G2" s="59">
        <f>food_insecure</f>
        <v>0.45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0.45</v>
      </c>
      <c r="F5" s="59">
        <f>food_insecure</f>
        <v>0.45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4.6999999999999993E-2</v>
      </c>
      <c r="D7" s="59">
        <f>diarrhoea_1_5mo*frac_diarrhea_severe</f>
        <v>4.6999999999999993E-2</v>
      </c>
      <c r="E7" s="59">
        <f>diarrhoea_6_11mo*frac_diarrhea_severe</f>
        <v>4.6999999999999993E-2</v>
      </c>
      <c r="F7" s="59">
        <f>diarrhoea_12_23mo*frac_diarrhea_severe</f>
        <v>4.6999999999999993E-2</v>
      </c>
      <c r="G7" s="59">
        <f>diarrhoea_24_59mo*frac_diarrhea_severe</f>
        <v>4.6999999999999993E-2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0.45</v>
      </c>
      <c r="F8" s="59">
        <f>food_insecure</f>
        <v>0.45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0.45</v>
      </c>
      <c r="F9" s="59">
        <f>food_insecure</f>
        <v>0.45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0.61499999999999999</v>
      </c>
      <c r="E10" s="59">
        <f>IF(ISBLANK(comm_deliv), frac_children_health_facility,1)</f>
        <v>0.61499999999999999</v>
      </c>
      <c r="F10" s="59">
        <f>IF(ISBLANK(comm_deliv), frac_children_health_facility,1)</f>
        <v>0.61499999999999999</v>
      </c>
      <c r="G10" s="59">
        <f>IF(ISBLANK(comm_deliv), frac_children_health_facility,1)</f>
        <v>0.61499999999999999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4.6999999999999993E-2</v>
      </c>
      <c r="D12" s="59">
        <f>diarrhoea_1_5mo*frac_diarrhea_severe</f>
        <v>4.6999999999999993E-2</v>
      </c>
      <c r="E12" s="59">
        <f>diarrhoea_6_11mo*frac_diarrhea_severe</f>
        <v>4.6999999999999993E-2</v>
      </c>
      <c r="F12" s="59">
        <f>diarrhoea_12_23mo*frac_diarrhea_severe</f>
        <v>4.6999999999999993E-2</v>
      </c>
      <c r="G12" s="59">
        <f>diarrhoea_24_59mo*frac_diarrhea_severe</f>
        <v>4.6999999999999993E-2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0.45</v>
      </c>
      <c r="I15" s="59">
        <f>food_insecure</f>
        <v>0.45</v>
      </c>
      <c r="J15" s="59">
        <f>food_insecure</f>
        <v>0.45</v>
      </c>
      <c r="K15" s="59">
        <f>food_insecure</f>
        <v>0.45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0.17799999999999999</v>
      </c>
      <c r="I18" s="59">
        <f>frac_PW_health_facility</f>
        <v>0.17799999999999999</v>
      </c>
      <c r="J18" s="59">
        <f>frac_PW_health_facility</f>
        <v>0.17799999999999999</v>
      </c>
      <c r="K18" s="59">
        <f>frac_PW_health_facility</f>
        <v>0.17799999999999999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3.2400000000000012E-2</v>
      </c>
      <c r="I19" s="59">
        <f>frac_malaria_risk</f>
        <v>3.2400000000000012E-2</v>
      </c>
      <c r="J19" s="59">
        <f>frac_malaria_risk</f>
        <v>3.2400000000000012E-2</v>
      </c>
      <c r="K19" s="59">
        <f>frac_malaria_risk</f>
        <v>3.2400000000000012E-2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0.57899999999999996</v>
      </c>
      <c r="M24" s="59">
        <f>famplan_unmet_need</f>
        <v>0.57899999999999996</v>
      </c>
      <c r="N24" s="59">
        <f>famplan_unmet_need</f>
        <v>0.57899999999999996</v>
      </c>
      <c r="O24" s="59">
        <f>famplan_unmet_need</f>
        <v>0.57899999999999996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0.37320774505615206</v>
      </c>
      <c r="M25" s="59">
        <f>(1-food_insecure)*(0.49)+food_insecure*(0.7)</f>
        <v>0.58450000000000002</v>
      </c>
      <c r="N25" s="59">
        <f>(1-food_insecure)*(0.49)+food_insecure*(0.7)</f>
        <v>0.58450000000000002</v>
      </c>
      <c r="O25" s="59">
        <f>(1-food_insecure)*(0.49)+food_insecure*(0.7)</f>
        <v>0.58450000000000002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0.15994617645263659</v>
      </c>
      <c r="M26" s="59">
        <f>(1-food_insecure)*(0.21)+food_insecure*(0.3)</f>
        <v>0.2505</v>
      </c>
      <c r="N26" s="59">
        <f>(1-food_insecure)*(0.21)+food_insecure*(0.3)</f>
        <v>0.2505</v>
      </c>
      <c r="O26" s="59">
        <f>(1-food_insecure)*(0.21)+food_insecure*(0.3)</f>
        <v>0.2505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0.10535376892089836</v>
      </c>
      <c r="M27" s="59">
        <f>(1-food_insecure)*(0.3)</f>
        <v>0.16500000000000001</v>
      </c>
      <c r="N27" s="59">
        <f>(1-food_insecure)*(0.3)</f>
        <v>0.16500000000000001</v>
      </c>
      <c r="O27" s="59">
        <f>(1-food_insecure)*(0.3)</f>
        <v>0.16500000000000001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0.36149230957031298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3.2400000000000012E-2</v>
      </c>
      <c r="D34" s="59">
        <f t="shared" si="3"/>
        <v>3.2400000000000012E-2</v>
      </c>
      <c r="E34" s="59">
        <f t="shared" si="3"/>
        <v>3.2400000000000012E-2</v>
      </c>
      <c r="F34" s="59">
        <f t="shared" si="3"/>
        <v>3.2400000000000012E-2</v>
      </c>
      <c r="G34" s="59">
        <f t="shared" si="3"/>
        <v>3.2400000000000012E-2</v>
      </c>
      <c r="H34" s="59">
        <f t="shared" si="3"/>
        <v>3.2400000000000012E-2</v>
      </c>
      <c r="I34" s="59">
        <f t="shared" si="3"/>
        <v>3.2400000000000012E-2</v>
      </c>
      <c r="J34" s="59">
        <f t="shared" si="3"/>
        <v>3.2400000000000012E-2</v>
      </c>
      <c r="K34" s="59">
        <f t="shared" si="3"/>
        <v>3.2400000000000012E-2</v>
      </c>
      <c r="L34" s="59">
        <f t="shared" si="3"/>
        <v>3.2400000000000012E-2</v>
      </c>
      <c r="M34" s="59">
        <f t="shared" si="3"/>
        <v>3.2400000000000012E-2</v>
      </c>
      <c r="N34" s="59">
        <f t="shared" si="3"/>
        <v>3.2400000000000012E-2</v>
      </c>
      <c r="O34" s="59">
        <f t="shared" si="3"/>
        <v>3.2400000000000012E-2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1165194.1192000001</v>
      </c>
      <c r="C2" s="49">
        <v>2264000</v>
      </c>
      <c r="D2" s="49">
        <v>3428000</v>
      </c>
      <c r="E2" s="49">
        <v>2234000</v>
      </c>
      <c r="F2" s="49">
        <v>1476000</v>
      </c>
      <c r="G2" s="13">
        <f t="shared" ref="G2:G11" si="0">C2+D2+E2+F2</f>
        <v>9402000</v>
      </c>
      <c r="H2" s="13">
        <f t="shared" ref="H2:H11" si="1">(B2 + stillbirth*B2/(1000-stillbirth))/(1-abortion)</f>
        <v>1362756.2235971822</v>
      </c>
      <c r="I2" s="13">
        <f t="shared" ref="I2:I11" si="2">G2-H2</f>
        <v>8039243.776402818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1167815.9704</v>
      </c>
      <c r="C3" s="49">
        <v>2319000</v>
      </c>
      <c r="D3" s="49">
        <v>3560000</v>
      </c>
      <c r="E3" s="49">
        <v>2310000</v>
      </c>
      <c r="F3" s="49">
        <v>1543000</v>
      </c>
      <c r="G3" s="13">
        <f t="shared" si="0"/>
        <v>9732000</v>
      </c>
      <c r="H3" s="13">
        <f t="shared" si="1"/>
        <v>1365822.6174119732</v>
      </c>
      <c r="I3" s="13">
        <f t="shared" si="2"/>
        <v>8366177.382588027</v>
      </c>
    </row>
    <row r="4" spans="1:9" ht="15.75" customHeight="1" x14ac:dyDescent="0.25">
      <c r="A4" s="6">
        <f t="shared" si="3"/>
        <v>2023</v>
      </c>
      <c r="B4" s="48">
        <v>1169569.2875999999</v>
      </c>
      <c r="C4" s="49">
        <v>2373000</v>
      </c>
      <c r="D4" s="49">
        <v>3692000</v>
      </c>
      <c r="E4" s="49">
        <v>2392000</v>
      </c>
      <c r="F4" s="49">
        <v>1612000</v>
      </c>
      <c r="G4" s="13">
        <f t="shared" si="0"/>
        <v>10069000</v>
      </c>
      <c r="H4" s="13">
        <f t="shared" si="1"/>
        <v>1367873.2147217849</v>
      </c>
      <c r="I4" s="13">
        <f t="shared" si="2"/>
        <v>8701126.785278216</v>
      </c>
    </row>
    <row r="5" spans="1:9" ht="15.75" customHeight="1" x14ac:dyDescent="0.25">
      <c r="A5" s="6">
        <f t="shared" si="3"/>
        <v>2024</v>
      </c>
      <c r="B5" s="48">
        <v>1170332.544</v>
      </c>
      <c r="C5" s="49">
        <v>2418000</v>
      </c>
      <c r="D5" s="49">
        <v>3820000</v>
      </c>
      <c r="E5" s="49">
        <v>2482000</v>
      </c>
      <c r="F5" s="49">
        <v>1682000</v>
      </c>
      <c r="G5" s="13">
        <f t="shared" si="0"/>
        <v>10402000</v>
      </c>
      <c r="H5" s="13">
        <f t="shared" si="1"/>
        <v>1368765.8834987392</v>
      </c>
      <c r="I5" s="13">
        <f t="shared" si="2"/>
        <v>9033234.1165012605</v>
      </c>
    </row>
    <row r="6" spans="1:9" ht="15.75" customHeight="1" x14ac:dyDescent="0.25">
      <c r="A6" s="6">
        <f t="shared" si="3"/>
        <v>2025</v>
      </c>
      <c r="B6" s="48">
        <v>1169993.5759999999</v>
      </c>
      <c r="C6" s="49">
        <v>2448000</v>
      </c>
      <c r="D6" s="49">
        <v>3941000</v>
      </c>
      <c r="E6" s="49">
        <v>2579000</v>
      </c>
      <c r="F6" s="49">
        <v>1750000</v>
      </c>
      <c r="G6" s="13">
        <f t="shared" si="0"/>
        <v>10718000</v>
      </c>
      <c r="H6" s="13">
        <f t="shared" si="1"/>
        <v>1368369.442473172</v>
      </c>
      <c r="I6" s="13">
        <f t="shared" si="2"/>
        <v>9349630.5575268287</v>
      </c>
    </row>
    <row r="7" spans="1:9" ht="15.75" customHeight="1" x14ac:dyDescent="0.25">
      <c r="A7" s="6">
        <f t="shared" si="3"/>
        <v>2026</v>
      </c>
      <c r="B7" s="48">
        <v>1172382.3684</v>
      </c>
      <c r="C7" s="49">
        <v>2462000</v>
      </c>
      <c r="D7" s="49">
        <v>4070000</v>
      </c>
      <c r="E7" s="49">
        <v>2687000</v>
      </c>
      <c r="F7" s="49">
        <v>1816000</v>
      </c>
      <c r="G7" s="13">
        <f t="shared" si="0"/>
        <v>11035000</v>
      </c>
      <c r="H7" s="13">
        <f t="shared" si="1"/>
        <v>1371163.2616800668</v>
      </c>
      <c r="I7" s="13">
        <f t="shared" si="2"/>
        <v>9663836.7383199334</v>
      </c>
    </row>
    <row r="8" spans="1:9" ht="15.75" customHeight="1" x14ac:dyDescent="0.25">
      <c r="A8" s="6">
        <f t="shared" si="3"/>
        <v>2027</v>
      </c>
      <c r="B8" s="48">
        <v>1173883.0567999999</v>
      </c>
      <c r="C8" s="49">
        <v>2460000</v>
      </c>
      <c r="D8" s="49">
        <v>4191000</v>
      </c>
      <c r="E8" s="49">
        <v>2804000</v>
      </c>
      <c r="F8" s="49">
        <v>1880000</v>
      </c>
      <c r="G8" s="13">
        <f t="shared" si="0"/>
        <v>11335000</v>
      </c>
      <c r="H8" s="13">
        <f t="shared" si="1"/>
        <v>1372918.3962306806</v>
      </c>
      <c r="I8" s="13">
        <f t="shared" si="2"/>
        <v>9962081.6037693191</v>
      </c>
    </row>
    <row r="9" spans="1:9" ht="15.75" customHeight="1" x14ac:dyDescent="0.25">
      <c r="A9" s="6">
        <f t="shared" si="3"/>
        <v>2028</v>
      </c>
      <c r="B9" s="48">
        <v>1174471.0236</v>
      </c>
      <c r="C9" s="49">
        <v>2452000</v>
      </c>
      <c r="D9" s="49">
        <v>4301000</v>
      </c>
      <c r="E9" s="49">
        <v>2926000</v>
      </c>
      <c r="F9" s="49">
        <v>1944000</v>
      </c>
      <c r="G9" s="13">
        <f t="shared" si="0"/>
        <v>11623000</v>
      </c>
      <c r="H9" s="13">
        <f t="shared" si="1"/>
        <v>1373606.0545382241</v>
      </c>
      <c r="I9" s="13">
        <f t="shared" si="2"/>
        <v>10249393.945461776</v>
      </c>
    </row>
    <row r="10" spans="1:9" ht="15.75" customHeight="1" x14ac:dyDescent="0.25">
      <c r="A10" s="6">
        <f t="shared" si="3"/>
        <v>2029</v>
      </c>
      <c r="B10" s="48">
        <v>1174149.2531999999</v>
      </c>
      <c r="C10" s="49">
        <v>2448000</v>
      </c>
      <c r="D10" s="49">
        <v>4398000</v>
      </c>
      <c r="E10" s="49">
        <v>3053000</v>
      </c>
      <c r="F10" s="49">
        <v>2011000</v>
      </c>
      <c r="G10" s="13">
        <f t="shared" si="0"/>
        <v>11910000</v>
      </c>
      <c r="H10" s="13">
        <f t="shared" si="1"/>
        <v>1373229.7270165312</v>
      </c>
      <c r="I10" s="13">
        <f t="shared" si="2"/>
        <v>10536770.272983469</v>
      </c>
    </row>
    <row r="11" spans="1:9" ht="15.75" customHeight="1" x14ac:dyDescent="0.25">
      <c r="A11" s="6">
        <f t="shared" si="3"/>
        <v>2030</v>
      </c>
      <c r="B11" s="48">
        <v>1172870.5</v>
      </c>
      <c r="C11" s="49">
        <v>2455000</v>
      </c>
      <c r="D11" s="49">
        <v>4480000</v>
      </c>
      <c r="E11" s="49">
        <v>3180000</v>
      </c>
      <c r="F11" s="49">
        <v>2081000</v>
      </c>
      <c r="G11" s="13">
        <f t="shared" si="0"/>
        <v>12196000</v>
      </c>
      <c r="H11" s="13">
        <f t="shared" si="1"/>
        <v>1371734.1574345795</v>
      </c>
      <c r="I11" s="13">
        <f t="shared" si="2"/>
        <v>10824265.842565421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1.09521122626174E-2</v>
      </c>
    </row>
    <row r="4" spans="1:8" ht="15.75" customHeight="1" x14ac:dyDescent="0.25">
      <c r="B4" s="15" t="s">
        <v>69</v>
      </c>
      <c r="C4" s="50">
        <v>0.14536558752957501</v>
      </c>
    </row>
    <row r="5" spans="1:8" ht="15.75" customHeight="1" x14ac:dyDescent="0.25">
      <c r="B5" s="15" t="s">
        <v>70</v>
      </c>
      <c r="C5" s="50">
        <v>6.6924758590723527E-2</v>
      </c>
    </row>
    <row r="6" spans="1:8" ht="15.75" customHeight="1" x14ac:dyDescent="0.25">
      <c r="B6" s="15" t="s">
        <v>71</v>
      </c>
      <c r="C6" s="50">
        <v>0.26263038515090498</v>
      </c>
    </row>
    <row r="7" spans="1:8" ht="15.75" customHeight="1" x14ac:dyDescent="0.25">
      <c r="B7" s="15" t="s">
        <v>72</v>
      </c>
      <c r="C7" s="50">
        <v>0.30414586163289681</v>
      </c>
    </row>
    <row r="8" spans="1:8" ht="15.75" customHeight="1" x14ac:dyDescent="0.25">
      <c r="B8" s="15" t="s">
        <v>73</v>
      </c>
      <c r="C8" s="50">
        <v>2.7032259482830012E-2</v>
      </c>
    </row>
    <row r="9" spans="1:8" ht="15.75" customHeight="1" x14ac:dyDescent="0.25">
      <c r="B9" s="15" t="s">
        <v>74</v>
      </c>
      <c r="C9" s="50">
        <v>8.1099629159846434E-2</v>
      </c>
    </row>
    <row r="10" spans="1:8" ht="15.75" customHeight="1" x14ac:dyDescent="0.25">
      <c r="B10" s="15" t="s">
        <v>75</v>
      </c>
      <c r="C10" s="50">
        <v>0.1018494061906059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0.17030894570136221</v>
      </c>
      <c r="D14" s="50">
        <v>0.17030894570136221</v>
      </c>
      <c r="E14" s="50">
        <v>0.17030894570136221</v>
      </c>
      <c r="F14" s="50">
        <v>0.17030894570136221</v>
      </c>
    </row>
    <row r="15" spans="1:8" ht="15.75" customHeight="1" x14ac:dyDescent="0.25">
      <c r="B15" s="15" t="s">
        <v>82</v>
      </c>
      <c r="C15" s="50">
        <v>0.2613494613001513</v>
      </c>
      <c r="D15" s="50">
        <v>0.2613494613001513</v>
      </c>
      <c r="E15" s="50">
        <v>0.2613494613001513</v>
      </c>
      <c r="F15" s="50">
        <v>0.2613494613001513</v>
      </c>
    </row>
    <row r="16" spans="1:8" ht="15.75" customHeight="1" x14ac:dyDescent="0.25">
      <c r="B16" s="15" t="s">
        <v>83</v>
      </c>
      <c r="C16" s="50">
        <v>3.6840070073872057E-2</v>
      </c>
      <c r="D16" s="50">
        <v>3.6840070073872057E-2</v>
      </c>
      <c r="E16" s="50">
        <v>3.6840070073872057E-2</v>
      </c>
      <c r="F16" s="50">
        <v>3.6840070073872057E-2</v>
      </c>
    </row>
    <row r="17" spans="1:8" ht="15.75" customHeight="1" x14ac:dyDescent="0.25">
      <c r="B17" s="15" t="s">
        <v>84</v>
      </c>
      <c r="C17" s="50">
        <v>4.3171786839886719E-2</v>
      </c>
      <c r="D17" s="50">
        <v>4.3171786839886719E-2</v>
      </c>
      <c r="E17" s="50">
        <v>4.3171786839886719E-2</v>
      </c>
      <c r="F17" s="50">
        <v>4.3171786839886719E-2</v>
      </c>
    </row>
    <row r="18" spans="1:8" ht="15.75" customHeight="1" x14ac:dyDescent="0.25">
      <c r="B18" s="15" t="s">
        <v>85</v>
      </c>
      <c r="C18" s="50">
        <v>6.8683535689740872E-3</v>
      </c>
      <c r="D18" s="50">
        <v>6.8683535689740872E-3</v>
      </c>
      <c r="E18" s="50">
        <v>6.8683535689740872E-3</v>
      </c>
      <c r="F18" s="50">
        <v>6.8683535689740872E-3</v>
      </c>
    </row>
    <row r="19" spans="1:8" ht="15.75" customHeight="1" x14ac:dyDescent="0.25">
      <c r="B19" s="15" t="s">
        <v>86</v>
      </c>
      <c r="C19" s="50">
        <v>1.812066471108166E-2</v>
      </c>
      <c r="D19" s="50">
        <v>1.812066471108166E-2</v>
      </c>
      <c r="E19" s="50">
        <v>1.812066471108166E-2</v>
      </c>
      <c r="F19" s="50">
        <v>1.812066471108166E-2</v>
      </c>
    </row>
    <row r="20" spans="1:8" ht="15.75" customHeight="1" x14ac:dyDescent="0.25">
      <c r="B20" s="15" t="s">
        <v>87</v>
      </c>
      <c r="C20" s="50">
        <v>2.312209917834214E-3</v>
      </c>
      <c r="D20" s="50">
        <v>2.312209917834214E-3</v>
      </c>
      <c r="E20" s="50">
        <v>2.312209917834214E-3</v>
      </c>
      <c r="F20" s="50">
        <v>2.312209917834214E-3</v>
      </c>
    </row>
    <row r="21" spans="1:8" ht="15.75" customHeight="1" x14ac:dyDescent="0.25">
      <c r="B21" s="15" t="s">
        <v>88</v>
      </c>
      <c r="C21" s="50">
        <v>0.1205619214052835</v>
      </c>
      <c r="D21" s="50">
        <v>0.1205619214052835</v>
      </c>
      <c r="E21" s="50">
        <v>0.1205619214052835</v>
      </c>
      <c r="F21" s="50">
        <v>0.1205619214052835</v>
      </c>
    </row>
    <row r="22" spans="1:8" ht="15.75" customHeight="1" x14ac:dyDescent="0.25">
      <c r="B22" s="15" t="s">
        <v>89</v>
      </c>
      <c r="C22" s="50">
        <v>0.3404665864815542</v>
      </c>
      <c r="D22" s="50">
        <v>0.3404665864815542</v>
      </c>
      <c r="E22" s="50">
        <v>0.3404665864815542</v>
      </c>
      <c r="F22" s="50">
        <v>0.3404665864815542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5.6316962999999998E-2</v>
      </c>
    </row>
    <row r="27" spans="1:8" ht="15.75" customHeight="1" x14ac:dyDescent="0.25">
      <c r="B27" s="15" t="s">
        <v>92</v>
      </c>
      <c r="C27" s="50">
        <v>9.746111E-3</v>
      </c>
    </row>
    <row r="28" spans="1:8" ht="15.75" customHeight="1" x14ac:dyDescent="0.25">
      <c r="B28" s="15" t="s">
        <v>93</v>
      </c>
      <c r="C28" s="50">
        <v>0.40384162200000001</v>
      </c>
    </row>
    <row r="29" spans="1:8" ht="15.75" customHeight="1" x14ac:dyDescent="0.25">
      <c r="B29" s="15" t="s">
        <v>94</v>
      </c>
      <c r="C29" s="50">
        <v>0.15108449600000001</v>
      </c>
    </row>
    <row r="30" spans="1:8" ht="15.75" customHeight="1" x14ac:dyDescent="0.25">
      <c r="B30" s="15" t="s">
        <v>95</v>
      </c>
      <c r="C30" s="50">
        <v>5.3471453999999988E-2</v>
      </c>
    </row>
    <row r="31" spans="1:8" ht="15.75" customHeight="1" x14ac:dyDescent="0.25">
      <c r="B31" s="15" t="s">
        <v>96</v>
      </c>
      <c r="C31" s="50">
        <v>2.1151507E-2</v>
      </c>
    </row>
    <row r="32" spans="1:8" ht="15.75" customHeight="1" x14ac:dyDescent="0.25">
      <c r="B32" s="15" t="s">
        <v>97</v>
      </c>
      <c r="C32" s="50">
        <v>7.030825000000001E-3</v>
      </c>
    </row>
    <row r="33" spans="2:3" ht="15.75" customHeight="1" x14ac:dyDescent="0.25">
      <c r="B33" s="15" t="s">
        <v>98</v>
      </c>
      <c r="C33" s="50">
        <v>0.17616351399999999</v>
      </c>
    </row>
    <row r="34" spans="2:3" ht="15.75" customHeight="1" x14ac:dyDescent="0.25">
      <c r="B34" s="15" t="s">
        <v>99</v>
      </c>
      <c r="C34" s="50">
        <v>0.12119350800000001</v>
      </c>
    </row>
    <row r="35" spans="2:3" ht="15.75" customHeight="1" x14ac:dyDescent="0.25">
      <c r="B35" s="23" t="s">
        <v>30</v>
      </c>
      <c r="C35" s="46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0.10193014049492501</v>
      </c>
      <c r="D4" s="52">
        <v>0.10193014049492501</v>
      </c>
      <c r="E4" s="52">
        <v>0.12596887628672501</v>
      </c>
      <c r="F4" s="52">
        <v>0.21533782150803599</v>
      </c>
      <c r="G4" s="52">
        <v>0.23684384633384001</v>
      </c>
    </row>
    <row r="5" spans="1:15" ht="15.75" customHeight="1" x14ac:dyDescent="0.25">
      <c r="B5" s="6" t="s">
        <v>105</v>
      </c>
      <c r="C5" s="52">
        <v>7.2336245637439595E-2</v>
      </c>
      <c r="D5" s="52">
        <v>7.2336245637439595E-2</v>
      </c>
      <c r="E5" s="52">
        <v>7.6508295445341504E-2</v>
      </c>
      <c r="F5" s="52">
        <v>0.152883935152441</v>
      </c>
      <c r="G5" s="52">
        <v>0.17093407130406399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8.3412722396723607E-2</v>
      </c>
      <c r="D10" s="52">
        <v>8.3412722396723607E-2</v>
      </c>
      <c r="E10" s="52">
        <v>8.7488805103706199E-2</v>
      </c>
      <c r="F10" s="52">
        <v>8.4725683809968408E-2</v>
      </c>
      <c r="G10" s="52">
        <v>6.2665159698191295E-2</v>
      </c>
    </row>
    <row r="11" spans="1:15" ht="15.75" customHeight="1" x14ac:dyDescent="0.25">
      <c r="B11" s="6" t="s">
        <v>110</v>
      </c>
      <c r="C11" s="52">
        <v>5.2398547850182699E-2</v>
      </c>
      <c r="D11" s="52">
        <v>5.2398547850182699E-2</v>
      </c>
      <c r="E11" s="52">
        <v>4.0690045491699599E-2</v>
      </c>
      <c r="F11" s="52">
        <v>3.4083938404733102E-2</v>
      </c>
      <c r="G11" s="52">
        <v>2.1098500667906799E-2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0.53504786775000002</v>
      </c>
      <c r="D14" s="53">
        <v>0.55257860089599997</v>
      </c>
      <c r="E14" s="53">
        <v>0.55257860089599997</v>
      </c>
      <c r="F14" s="53">
        <v>0.36355796776299998</v>
      </c>
      <c r="G14" s="53">
        <v>0.36355796776299998</v>
      </c>
      <c r="H14" s="54">
        <v>0.38200000000000001</v>
      </c>
      <c r="I14" s="54">
        <v>0.38200000000000001</v>
      </c>
      <c r="J14" s="54">
        <v>0.38200000000000001</v>
      </c>
      <c r="K14" s="54">
        <v>0.38200000000000001</v>
      </c>
      <c r="L14" s="54">
        <v>0.42399999999999999</v>
      </c>
      <c r="M14" s="54">
        <v>0.42399999999999999</v>
      </c>
      <c r="N14" s="54">
        <v>0.42399999999999999</v>
      </c>
      <c r="O14" s="54">
        <v>0.42399999999999999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0.2599337448230985</v>
      </c>
      <c r="D15" s="51">
        <f t="shared" si="0"/>
        <v>0.26845042041568934</v>
      </c>
      <c r="E15" s="51">
        <f t="shared" si="0"/>
        <v>0.26845042041568934</v>
      </c>
      <c r="F15" s="51">
        <f t="shared" si="0"/>
        <v>0.17662155055081408</v>
      </c>
      <c r="G15" s="51">
        <f t="shared" si="0"/>
        <v>0.17662155055081408</v>
      </c>
      <c r="H15" s="51">
        <f t="shared" si="0"/>
        <v>0.18558094800000002</v>
      </c>
      <c r="I15" s="51">
        <f t="shared" si="0"/>
        <v>0.18558094800000002</v>
      </c>
      <c r="J15" s="51">
        <f t="shared" si="0"/>
        <v>0.18558094800000002</v>
      </c>
      <c r="K15" s="51">
        <f t="shared" si="0"/>
        <v>0.18558094800000002</v>
      </c>
      <c r="L15" s="51">
        <f t="shared" si="0"/>
        <v>0.20598513600000001</v>
      </c>
      <c r="M15" s="51">
        <f t="shared" si="0"/>
        <v>0.20598513600000001</v>
      </c>
      <c r="N15" s="51">
        <f t="shared" si="0"/>
        <v>0.20598513600000001</v>
      </c>
      <c r="O15" s="51">
        <f t="shared" si="0"/>
        <v>0.20598513600000001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0.56787818670272794</v>
      </c>
      <c r="D2" s="52">
        <v>0.41937809999999998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6.9442421197891194E-2</v>
      </c>
      <c r="D3" s="52">
        <v>0.1167952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0.34549808502197299</v>
      </c>
      <c r="D4" s="52">
        <v>0.42585460000000003</v>
      </c>
      <c r="E4" s="52">
        <v>0.90376293659210205</v>
      </c>
      <c r="F4" s="52">
        <v>0.738078653812408</v>
      </c>
      <c r="G4" s="52">
        <v>0</v>
      </c>
    </row>
    <row r="5" spans="1:7" x14ac:dyDescent="0.25">
      <c r="B5" s="3" t="s">
        <v>122</v>
      </c>
      <c r="C5" s="51">
        <v>1.7181327566504499E-2</v>
      </c>
      <c r="D5" s="51">
        <v>3.7972148507833502E-2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2023-01-17T02:21:10Z</dcterms:modified>
</cp:coreProperties>
</file>