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AF9F252E-EEFE-4161-BA32-EB34E80C11C9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2" i="2"/>
  <c r="A24" i="2"/>
  <c r="A16" i="2"/>
  <c r="I11" i="2"/>
  <c r="H11" i="2"/>
  <c r="G11" i="2"/>
  <c r="H10" i="2"/>
  <c r="I10" i="2" s="1"/>
  <c r="G10" i="2"/>
  <c r="I9" i="2"/>
  <c r="H9" i="2"/>
  <c r="G9" i="2"/>
  <c r="H8" i="2"/>
  <c r="G8" i="2"/>
  <c r="I8" i="2" s="1"/>
  <c r="I7" i="2"/>
  <c r="H7" i="2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37" i="2" s="1"/>
  <c r="C33" i="1"/>
  <c r="C20" i="1"/>
  <c r="A14" i="2" l="1"/>
  <c r="A30" i="2"/>
  <c r="A40" i="2"/>
  <c r="A22" i="2"/>
  <c r="A38" i="2"/>
  <c r="A15" i="2"/>
  <c r="A23" i="2"/>
  <c r="A31" i="2"/>
  <c r="A17" i="2"/>
  <c r="A25" i="2"/>
  <c r="A33" i="2"/>
  <c r="A18" i="2"/>
  <c r="A26" i="2"/>
  <c r="A34" i="2"/>
  <c r="A39" i="2"/>
  <c r="A19" i="2"/>
  <c r="A27" i="2"/>
  <c r="A35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<sst xmlns="http://schemas.openxmlformats.org/spreadsheetml/2006/main" count="2092" uniqueCount="341">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</sst>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95210.0654296875</v>
      </c>
    </row>
    <row r="8" spans="1:3" ht="15" customHeight="1" x14ac:dyDescent="0.25">
      <c r="B8" s="7" t="s">
        <v>8</v>
      </c>
      <c r="C8" s="38">
        <v>1.4E-2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0.87981307983398394</v>
      </c>
    </row>
    <row r="11" spans="1:3" ht="15" customHeight="1" x14ac:dyDescent="0.25">
      <c r="B11" s="7" t="s">
        <v>11</v>
      </c>
      <c r="C11" s="98">
        <v>0.93599999999999994</v>
      </c>
    </row>
    <row r="12" spans="1:3" ht="15" customHeight="1" x14ac:dyDescent="0.25">
      <c r="B12" s="7" t="s">
        <v>12</v>
      </c>
      <c r="C12" s="98">
        <v>0.72</v>
      </c>
    </row>
    <row r="13" spans="1:3" ht="15" customHeight="1" x14ac:dyDescent="0.25">
      <c r="B13" s="7" t="s">
        <v>13</v>
      </c>
      <c r="C13" s="98">
        <v>0.10299999999999999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0.1032</v>
      </c>
    </row>
    <row r="24" spans="1:3" ht="15" customHeight="1" x14ac:dyDescent="0.25">
      <c r="B24" s="10" t="s">
        <v>22</v>
      </c>
      <c r="C24" s="98">
        <v>0.55130000000000001</v>
      </c>
    </row>
    <row r="25" spans="1:3" ht="15" customHeight="1" x14ac:dyDescent="0.25">
      <c r="B25" s="10" t="s">
        <v>23</v>
      </c>
      <c r="C25" s="98">
        <v>0.28949999999999998</v>
      </c>
    </row>
    <row r="26" spans="1:3" ht="15" customHeight="1" x14ac:dyDescent="0.25">
      <c r="B26" s="10" t="s">
        <v>24</v>
      </c>
      <c r="C26" s="98">
        <v>5.6000000000000008E-2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0.35675533525383901</v>
      </c>
    </row>
    <row r="30" spans="1:3" ht="14.25" customHeight="1" x14ac:dyDescent="0.25">
      <c r="B30" s="16" t="s">
        <v>27</v>
      </c>
      <c r="C30" s="99">
        <v>6.5910586704521698E-2</v>
      </c>
    </row>
    <row r="31" spans="1:3" ht="14.25" customHeight="1" x14ac:dyDescent="0.25">
      <c r="B31" s="16" t="s">
        <v>28</v>
      </c>
      <c r="C31" s="99">
        <v>9.262041217609189E-2</v>
      </c>
    </row>
    <row r="32" spans="1:3" ht="14.25" customHeight="1" x14ac:dyDescent="0.25">
      <c r="B32" s="16" t="s">
        <v>29</v>
      </c>
      <c r="C32" s="99">
        <v>0.48471366586554798</v>
      </c>
    </row>
    <row r="33" spans="1:5" ht="13" customHeight="1" x14ac:dyDescent="0.25">
      <c r="B33" s="18" t="s">
        <v>30</v>
      </c>
      <c r="C33" s="40">
        <f>SUM(C29:C32)</f>
        <v>1.0000000000000004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10.8447422944596</v>
      </c>
    </row>
    <row r="38" spans="1:5" ht="15" customHeight="1" x14ac:dyDescent="0.25">
      <c r="B38" s="22" t="s">
        <v>34</v>
      </c>
      <c r="C38" s="37">
        <v>21.677014305696702</v>
      </c>
      <c r="D38" s="102"/>
      <c r="E38" s="103"/>
    </row>
    <row r="39" spans="1:5" ht="15" customHeight="1" x14ac:dyDescent="0.25">
      <c r="B39" s="22" t="s">
        <v>35</v>
      </c>
      <c r="C39" s="37">
        <v>25.693275133847401</v>
      </c>
      <c r="D39" s="102"/>
      <c r="E39" s="102"/>
    </row>
    <row r="40" spans="1:5" ht="15" customHeight="1" x14ac:dyDescent="0.25">
      <c r="B40" s="22" t="s">
        <v>36</v>
      </c>
      <c r="C40" s="104">
        <v>0.34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8.5763926910000006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2.16936E-2</v>
      </c>
      <c r="D45" s="102"/>
    </row>
    <row r="46" spans="1:5" ht="15.75" customHeight="1" x14ac:dyDescent="0.25">
      <c r="B46" s="22" t="s">
        <v>41</v>
      </c>
      <c r="C46" s="98">
        <v>7.7058760000000004E-2</v>
      </c>
      <c r="D46" s="102"/>
    </row>
    <row r="47" spans="1:5" ht="15.75" customHeight="1" x14ac:dyDescent="0.25">
      <c r="B47" s="22" t="s">
        <v>42</v>
      </c>
      <c r="C47" s="98">
        <v>0.15840370000000001</v>
      </c>
      <c r="D47" s="102"/>
      <c r="E47" s="103"/>
    </row>
    <row r="48" spans="1:5" ht="15" customHeight="1" x14ac:dyDescent="0.25">
      <c r="B48" s="22" t="s">
        <v>43</v>
      </c>
      <c r="C48" s="39">
        <v>0.74284394000000009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2.2000000000000002</v>
      </c>
      <c r="D51" s="102"/>
    </row>
    <row r="52" spans="1:4" ht="15" customHeight="1" x14ac:dyDescent="0.25">
      <c r="B52" s="22" t="s">
        <v>46</v>
      </c>
      <c r="C52" s="104">
        <v>2.2000000000000002</v>
      </c>
    </row>
    <row r="53" spans="1:4" ht="15.75" customHeight="1" x14ac:dyDescent="0.25">
      <c r="B53" s="22" t="s">
        <v>47</v>
      </c>
      <c r="C53" s="104">
        <v>2.2000000000000002</v>
      </c>
    </row>
    <row r="54" spans="1:4" ht="15.75" customHeight="1" x14ac:dyDescent="0.25">
      <c r="B54" s="22" t="s">
        <v>48</v>
      </c>
      <c r="C54" s="104">
        <v>2.2000000000000002</v>
      </c>
    </row>
    <row r="55" spans="1:4" ht="15.75" customHeight="1" x14ac:dyDescent="0.25">
      <c r="B55" s="22" t="s">
        <v>49</v>
      </c>
      <c r="C55" s="104">
        <v>2.2000000000000002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2.1363636363636359E-2</v>
      </c>
    </row>
    <row r="59" spans="1:4" ht="15.75" customHeight="1" x14ac:dyDescent="0.25">
      <c r="B59" s="22" t="s">
        <v>52</v>
      </c>
      <c r="C59" s="98">
        <v>0.48294500000000001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0.2248335648</v>
      </c>
      <c r="C2" s="95">
        <v>0.95</v>
      </c>
      <c r="D2" s="96">
        <v>64.978466716900769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40.035884855702882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523.3469422837544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2.222199495604066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13.16818429949879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13.16818429949879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13.16818429949879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13.16818429949879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13.16818429949879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13.16818429949879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0.87495009939413526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0.5554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</v>
      </c>
      <c r="C18" s="95">
        <v>0.95</v>
      </c>
      <c r="D18" s="96">
        <v>12.03223213704624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</v>
      </c>
      <c r="C19" s="95">
        <v>0.95</v>
      </c>
      <c r="D19" s="96">
        <v>12.03223213704624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0.98699999999999999</v>
      </c>
      <c r="C21" s="95">
        <v>0.95</v>
      </c>
      <c r="D21" s="96">
        <v>23.370362340463299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22.805877504333029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4.3768406970404801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0.73859193869999995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18.714394010930931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</v>
      </c>
      <c r="C29" s="95">
        <v>0.95</v>
      </c>
      <c r="D29" s="96">
        <v>129.5082053629678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2.7005701608607802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1.894695667647958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0.86966290278781999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6.0398139560416322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0.95072175069817499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2.2000000000000002</v>
      </c>
      <c r="C2" s="119">
        <f>'Baseline year population inputs'!C52</f>
        <v>2.2000000000000002</v>
      </c>
      <c r="D2" s="119">
        <f>'Baseline year population inputs'!C53</f>
        <v>2.2000000000000002</v>
      </c>
      <c r="E2" s="119">
        <f>'Baseline year population inputs'!C54</f>
        <v>2.2000000000000002</v>
      </c>
      <c r="F2" s="119">
        <f>'Baseline year population inputs'!C55</f>
        <v>2.2000000000000002</v>
      </c>
    </row>
    <row r="3" spans="1:6" ht="15.75" customHeight="1" x14ac:dyDescent="0.25">
      <c r="A3" s="4" t="s">
        <v>204</v>
      </c>
      <c r="B3" s="119">
        <f>frac_mam_1month * 2.6</f>
        <v>0.21687307823148139</v>
      </c>
      <c r="C3" s="119">
        <f>frac_mam_1_5months * 2.6</f>
        <v>0.21687307823148139</v>
      </c>
      <c r="D3" s="119">
        <f>frac_mam_6_11months * 2.6</f>
        <v>0.22747089326963613</v>
      </c>
      <c r="E3" s="119">
        <f>frac_mam_12_23months * 2.6</f>
        <v>0.22028677790591786</v>
      </c>
      <c r="F3" s="119">
        <f>frac_mam_24_59months * 2.6</f>
        <v>0.16292941521529739</v>
      </c>
    </row>
    <row r="4" spans="1:6" ht="15.75" customHeight="1" x14ac:dyDescent="0.25">
      <c r="A4" s="4" t="s">
        <v>205</v>
      </c>
      <c r="B4" s="119">
        <f>frac_sam_1month * 2.6</f>
        <v>0.13623622441047503</v>
      </c>
      <c r="C4" s="119">
        <f>frac_sam_1_5months * 2.6</f>
        <v>0.13623622441047503</v>
      </c>
      <c r="D4" s="119">
        <f>frac_sam_6_11months * 2.6</f>
        <v>0.10579411827841896</v>
      </c>
      <c r="E4" s="119">
        <f>frac_sam_12_23months * 2.6</f>
        <v>8.8618239852306074E-2</v>
      </c>
      <c r="F4" s="119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1.4E-2</v>
      </c>
      <c r="E2" s="48">
        <f>food_insecure</f>
        <v>1.4E-2</v>
      </c>
      <c r="F2" s="48">
        <f>food_insecure</f>
        <v>1.4E-2</v>
      </c>
      <c r="G2" s="48">
        <f>food_insecure</f>
        <v>1.4E-2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1.4E-2</v>
      </c>
      <c r="F5" s="48">
        <f>food_insecure</f>
        <v>1.4E-2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4.6999999999999993E-2</v>
      </c>
      <c r="D7" s="48">
        <f>diarrhoea_1_5mo*frac_diarrhea_severe</f>
        <v>4.6999999999999993E-2</v>
      </c>
      <c r="E7" s="48">
        <f>diarrhoea_6_11mo*frac_diarrhea_severe</f>
        <v>4.6999999999999993E-2</v>
      </c>
      <c r="F7" s="48">
        <f>diarrhoea_12_23mo*frac_diarrhea_severe</f>
        <v>4.6999999999999993E-2</v>
      </c>
      <c r="G7" s="48">
        <f>diarrhoea_24_59mo*frac_diarrhea_severe</f>
        <v>4.6999999999999993E-2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1.4E-2</v>
      </c>
      <c r="F8" s="48">
        <f>food_insecure</f>
        <v>1.4E-2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1.4E-2</v>
      </c>
      <c r="F9" s="48">
        <f>food_insecure</f>
        <v>1.4E-2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0.72</v>
      </c>
      <c r="E10" s="48">
        <f>IF(ISBLANK(comm_deliv), frac_children_health_facility,1)</f>
        <v>0.72</v>
      </c>
      <c r="F10" s="48">
        <f>IF(ISBLANK(comm_deliv), frac_children_health_facility,1)</f>
        <v>0.72</v>
      </c>
      <c r="G10" s="48">
        <f>IF(ISBLANK(comm_deliv), frac_children_health_facility,1)</f>
        <v>0.72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4.6999999999999993E-2</v>
      </c>
      <c r="D12" s="48">
        <f>diarrhoea_1_5mo*frac_diarrhea_severe</f>
        <v>4.6999999999999993E-2</v>
      </c>
      <c r="E12" s="48">
        <f>diarrhoea_6_11mo*frac_diarrhea_severe</f>
        <v>4.6999999999999993E-2</v>
      </c>
      <c r="F12" s="48">
        <f>diarrhoea_12_23mo*frac_diarrhea_severe</f>
        <v>4.6999999999999993E-2</v>
      </c>
      <c r="G12" s="48">
        <f>diarrhoea_24_59mo*frac_diarrhea_severe</f>
        <v>4.6999999999999993E-2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1.4E-2</v>
      </c>
      <c r="I15" s="48">
        <f>food_insecure</f>
        <v>1.4E-2</v>
      </c>
      <c r="J15" s="48">
        <f>food_insecure</f>
        <v>1.4E-2</v>
      </c>
      <c r="K15" s="48">
        <f>food_insecure</f>
        <v>1.4E-2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0.93599999999999994</v>
      </c>
      <c r="I18" s="48">
        <f>frac_PW_health_facility</f>
        <v>0.93599999999999994</v>
      </c>
      <c r="J18" s="48">
        <f>frac_PW_health_facility</f>
        <v>0.93599999999999994</v>
      </c>
      <c r="K18" s="48">
        <f>frac_PW_health_facility</f>
        <v>0.93599999999999994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0.10299999999999999</v>
      </c>
      <c r="M24" s="48">
        <f>famplan_unmet_need</f>
        <v>0.10299999999999999</v>
      </c>
      <c r="N24" s="48">
        <f>famplan_unmet_need</f>
        <v>0.10299999999999999</v>
      </c>
      <c r="O24" s="48">
        <f>famplan_unmet_need</f>
        <v>0.10299999999999999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5.9244940426635952E-2</v>
      </c>
      <c r="M25" s="48">
        <f>(1-food_insecure)*(0.49)+food_insecure*(0.7)</f>
        <v>0.49293999999999993</v>
      </c>
      <c r="N25" s="48">
        <f>(1-food_insecure)*(0.49)+food_insecure*(0.7)</f>
        <v>0.49293999999999993</v>
      </c>
      <c r="O25" s="48">
        <f>(1-food_insecure)*(0.49)+food_insecure*(0.7)</f>
        <v>0.49293999999999993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2.5390688754272556E-2</v>
      </c>
      <c r="M26" s="48">
        <f>(1-food_insecure)*(0.21)+food_insecure*(0.3)</f>
        <v>0.21126</v>
      </c>
      <c r="N26" s="48">
        <f>(1-food_insecure)*(0.21)+food_insecure*(0.3)</f>
        <v>0.21126</v>
      </c>
      <c r="O26" s="48">
        <f>(1-food_insecure)*(0.21)+food_insecure*(0.3)</f>
        <v>0.21126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3.555129098510755E-2</v>
      </c>
      <c r="M27" s="48">
        <f>(1-food_insecure)*(0.3)</f>
        <v>0.29580000000000001</v>
      </c>
      <c r="N27" s="48">
        <f>(1-food_insecure)*(0.3)</f>
        <v>0.29580000000000001</v>
      </c>
      <c r="O27" s="48">
        <f>(1-food_insecure)*(0.3)</f>
        <v>0.29580000000000001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0.87981307983398394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16647.7696</v>
      </c>
      <c r="C2" s="41">
        <v>39000</v>
      </c>
      <c r="D2" s="41">
        <v>70000</v>
      </c>
      <c r="E2" s="41">
        <v>66000</v>
      </c>
      <c r="F2" s="41">
        <v>55000</v>
      </c>
      <c r="G2" s="105">
        <f t="shared" ref="G2:G11" si="0">C2+D2+E2+F2</f>
        <v>230000</v>
      </c>
      <c r="H2" s="105">
        <f t="shared" ref="H2:H11" si="1">(B2 + stillbirth*B2/(1000-stillbirth))/(1-abortion)</f>
        <v>19081.571046455618</v>
      </c>
      <c r="I2" s="105">
        <f t="shared" ref="I2:I11" si="2">G2-H2</f>
        <v>210918.42895354438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16527.139200000001</v>
      </c>
      <c r="C3" s="106">
        <v>39000</v>
      </c>
      <c r="D3" s="106">
        <v>70000</v>
      </c>
      <c r="E3" s="106">
        <v>66000</v>
      </c>
      <c r="F3" s="106">
        <v>57000</v>
      </c>
      <c r="G3" s="105">
        <f t="shared" si="0"/>
        <v>232000</v>
      </c>
      <c r="H3" s="105">
        <f t="shared" si="1"/>
        <v>18943.305224470532</v>
      </c>
      <c r="I3" s="105">
        <f t="shared" si="2"/>
        <v>213056.69477552947</v>
      </c>
    </row>
    <row r="4" spans="1:9" ht="15.75" customHeight="1" x14ac:dyDescent="0.25">
      <c r="A4" s="7">
        <f t="shared" si="3"/>
        <v>2023</v>
      </c>
      <c r="B4" s="41">
        <v>16404.264800000001</v>
      </c>
      <c r="C4" s="106">
        <v>40000</v>
      </c>
      <c r="D4" s="106">
        <v>70000</v>
      </c>
      <c r="E4" s="106">
        <v>65000</v>
      </c>
      <c r="F4" s="106">
        <v>59000</v>
      </c>
      <c r="G4" s="105">
        <f t="shared" si="0"/>
        <v>234000</v>
      </c>
      <c r="H4" s="105">
        <f t="shared" si="1"/>
        <v>18802.467343497541</v>
      </c>
      <c r="I4" s="105">
        <f t="shared" si="2"/>
        <v>215197.53265650244</v>
      </c>
    </row>
    <row r="5" spans="1:9" ht="15.75" customHeight="1" x14ac:dyDescent="0.25">
      <c r="A5" s="7">
        <f t="shared" si="3"/>
        <v>2024</v>
      </c>
      <c r="B5" s="41">
        <v>16279.1464</v>
      </c>
      <c r="C5" s="106">
        <v>41000</v>
      </c>
      <c r="D5" s="106">
        <v>70000</v>
      </c>
      <c r="E5" s="106">
        <v>66000</v>
      </c>
      <c r="F5" s="106">
        <v>59000</v>
      </c>
      <c r="G5" s="105">
        <f t="shared" si="0"/>
        <v>236000</v>
      </c>
      <c r="H5" s="105">
        <f t="shared" si="1"/>
        <v>18659.057403536641</v>
      </c>
      <c r="I5" s="105">
        <f t="shared" si="2"/>
        <v>217340.94259646337</v>
      </c>
    </row>
    <row r="6" spans="1:9" ht="15.75" customHeight="1" x14ac:dyDescent="0.25">
      <c r="A6" s="7">
        <f t="shared" si="3"/>
        <v>2025</v>
      </c>
      <c r="B6" s="41">
        <v>16134.8</v>
      </c>
      <c r="C6" s="106">
        <v>42000</v>
      </c>
      <c r="D6" s="106">
        <v>69000</v>
      </c>
      <c r="E6" s="106">
        <v>65000</v>
      </c>
      <c r="F6" s="106">
        <v>60000</v>
      </c>
      <c r="G6" s="105">
        <f t="shared" si="0"/>
        <v>236000</v>
      </c>
      <c r="H6" s="105">
        <f t="shared" si="1"/>
        <v>18493.608448326442</v>
      </c>
      <c r="I6" s="105">
        <f t="shared" si="2"/>
        <v>217506.39155167356</v>
      </c>
    </row>
    <row r="7" spans="1:9" ht="15.75" customHeight="1" x14ac:dyDescent="0.25">
      <c r="A7" s="7">
        <f t="shared" si="3"/>
        <v>2026</v>
      </c>
      <c r="B7" s="41">
        <v>16081.627</v>
      </c>
      <c r="C7" s="106">
        <v>42000</v>
      </c>
      <c r="D7" s="106">
        <v>70000</v>
      </c>
      <c r="E7" s="106">
        <v>64000</v>
      </c>
      <c r="F7" s="106">
        <v>61000</v>
      </c>
      <c r="G7" s="105">
        <f t="shared" si="0"/>
        <v>237000</v>
      </c>
      <c r="H7" s="105">
        <f t="shared" si="1"/>
        <v>18432.661883012781</v>
      </c>
      <c r="I7" s="105">
        <f t="shared" si="2"/>
        <v>218567.33811698723</v>
      </c>
    </row>
    <row r="8" spans="1:9" ht="15.75" customHeight="1" x14ac:dyDescent="0.25">
      <c r="A8" s="7">
        <f t="shared" si="3"/>
        <v>2027</v>
      </c>
      <c r="B8" s="41">
        <v>16010.313200000001</v>
      </c>
      <c r="C8" s="106">
        <v>42000</v>
      </c>
      <c r="D8" s="106">
        <v>71000</v>
      </c>
      <c r="E8" s="106">
        <v>65000</v>
      </c>
      <c r="F8" s="106">
        <v>62000</v>
      </c>
      <c r="G8" s="105">
        <f t="shared" si="0"/>
        <v>240000</v>
      </c>
      <c r="H8" s="105">
        <f t="shared" si="1"/>
        <v>18350.922444397969</v>
      </c>
      <c r="I8" s="105">
        <f t="shared" si="2"/>
        <v>221649.07755560204</v>
      </c>
    </row>
    <row r="9" spans="1:9" ht="15.75" customHeight="1" x14ac:dyDescent="0.25">
      <c r="A9" s="7">
        <f t="shared" si="3"/>
        <v>2028</v>
      </c>
      <c r="B9" s="41">
        <v>15937.8426</v>
      </c>
      <c r="C9" s="106">
        <v>42000</v>
      </c>
      <c r="D9" s="106">
        <v>73000</v>
      </c>
      <c r="E9" s="106">
        <v>65000</v>
      </c>
      <c r="F9" s="106">
        <v>62000</v>
      </c>
      <c r="G9" s="105">
        <f t="shared" si="0"/>
        <v>242000</v>
      </c>
      <c r="H9" s="105">
        <f t="shared" si="1"/>
        <v>18267.857088743403</v>
      </c>
      <c r="I9" s="105">
        <f t="shared" si="2"/>
        <v>223732.14291125658</v>
      </c>
    </row>
    <row r="10" spans="1:9" ht="15.75" customHeight="1" x14ac:dyDescent="0.25">
      <c r="A10" s="7">
        <f t="shared" si="3"/>
        <v>2029</v>
      </c>
      <c r="B10" s="41">
        <v>15864.215200000001</v>
      </c>
      <c r="C10" s="106">
        <v>41000</v>
      </c>
      <c r="D10" s="106">
        <v>74000</v>
      </c>
      <c r="E10" s="106">
        <v>64000</v>
      </c>
      <c r="F10" s="106">
        <v>62000</v>
      </c>
      <c r="G10" s="105">
        <f t="shared" si="0"/>
        <v>241000</v>
      </c>
      <c r="H10" s="105">
        <f t="shared" si="1"/>
        <v>18183.465816049084</v>
      </c>
      <c r="I10" s="105">
        <f t="shared" si="2"/>
        <v>222816.53418395092</v>
      </c>
    </row>
    <row r="11" spans="1:9" ht="15.75" customHeight="1" x14ac:dyDescent="0.25">
      <c r="A11" s="7">
        <f t="shared" si="3"/>
        <v>2030</v>
      </c>
      <c r="B11" s="41">
        <v>15773.17</v>
      </c>
      <c r="C11" s="106">
        <v>41000</v>
      </c>
      <c r="D11" s="106">
        <v>75000</v>
      </c>
      <c r="E11" s="106">
        <v>64000</v>
      </c>
      <c r="F11" s="106">
        <v>61000</v>
      </c>
      <c r="G11" s="105">
        <f t="shared" si="0"/>
        <v>241000</v>
      </c>
      <c r="H11" s="105">
        <f t="shared" si="1"/>
        <v>18079.110368203459</v>
      </c>
      <c r="I11" s="105">
        <f t="shared" si="2"/>
        <v>222920.88963179654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0</v>
      </c>
    </row>
    <row r="4" spans="1:8" ht="15.75" customHeight="1" x14ac:dyDescent="0.25">
      <c r="B4" s="13" t="s">
        <v>69</v>
      </c>
      <c r="C4" s="108">
        <v>9.9353163278659798E-2</v>
      </c>
    </row>
    <row r="5" spans="1:8" ht="15.75" customHeight="1" x14ac:dyDescent="0.25">
      <c r="B5" s="13" t="s">
        <v>70</v>
      </c>
      <c r="C5" s="108">
        <v>5.0241596018254613E-2</v>
      </c>
    </row>
    <row r="6" spans="1:8" ht="15.75" customHeight="1" x14ac:dyDescent="0.25">
      <c r="B6" s="13" t="s">
        <v>71</v>
      </c>
      <c r="C6" s="108">
        <v>0.1415093355685767</v>
      </c>
    </row>
    <row r="7" spans="1:8" ht="15.75" customHeight="1" x14ac:dyDescent="0.25">
      <c r="B7" s="13" t="s">
        <v>72</v>
      </c>
      <c r="C7" s="108">
        <v>0.38484179193746632</v>
      </c>
    </row>
    <row r="8" spans="1:8" ht="15.75" customHeight="1" x14ac:dyDescent="0.25">
      <c r="B8" s="13" t="s">
        <v>73</v>
      </c>
      <c r="C8" s="108">
        <v>6.2903561434464331E-3</v>
      </c>
    </row>
    <row r="9" spans="1:8" ht="15.75" customHeight="1" x14ac:dyDescent="0.25">
      <c r="B9" s="13" t="s">
        <v>74</v>
      </c>
      <c r="C9" s="108">
        <v>0.21097479329807811</v>
      </c>
    </row>
    <row r="10" spans="1:8" ht="15.75" customHeight="1" x14ac:dyDescent="0.25">
      <c r="B10" s="13" t="s">
        <v>75</v>
      </c>
      <c r="C10" s="108">
        <v>0.10678896375551809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6.433608783559952E-2</v>
      </c>
      <c r="D14" s="107">
        <v>6.433608783559952E-2</v>
      </c>
      <c r="E14" s="107">
        <v>6.433608783559952E-2</v>
      </c>
      <c r="F14" s="107">
        <v>6.433608783559952E-2</v>
      </c>
    </row>
    <row r="15" spans="1:8" ht="15.75" customHeight="1" x14ac:dyDescent="0.25">
      <c r="B15" s="13" t="s">
        <v>82</v>
      </c>
      <c r="C15" s="108">
        <v>0.1818914048345705</v>
      </c>
      <c r="D15" s="108">
        <v>0.1818914048345705</v>
      </c>
      <c r="E15" s="108">
        <v>0.1818914048345705</v>
      </c>
      <c r="F15" s="108">
        <v>0.1818914048345705</v>
      </c>
    </row>
    <row r="16" spans="1:8" ht="15.75" customHeight="1" x14ac:dyDescent="0.25">
      <c r="B16" s="13" t="s">
        <v>83</v>
      </c>
      <c r="C16" s="108">
        <v>3.3814575796211728E-2</v>
      </c>
      <c r="D16" s="108">
        <v>3.3814575796211728E-2</v>
      </c>
      <c r="E16" s="108">
        <v>3.3814575796211728E-2</v>
      </c>
      <c r="F16" s="108">
        <v>3.3814575796211728E-2</v>
      </c>
    </row>
    <row r="17" spans="1:8" ht="15.75" customHeight="1" x14ac:dyDescent="0.25">
      <c r="B17" s="13" t="s">
        <v>84</v>
      </c>
      <c r="C17" s="108">
        <v>0</v>
      </c>
      <c r="D17" s="108">
        <v>0</v>
      </c>
      <c r="E17" s="108">
        <v>0</v>
      </c>
      <c r="F17" s="108">
        <v>0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1.2641605911366481E-2</v>
      </c>
      <c r="D19" s="108">
        <v>1.2641605911366481E-2</v>
      </c>
      <c r="E19" s="108">
        <v>1.2641605911366481E-2</v>
      </c>
      <c r="F19" s="108">
        <v>1.2641605911366481E-2</v>
      </c>
    </row>
    <row r="20" spans="1:8" ht="15.75" customHeight="1" x14ac:dyDescent="0.25">
      <c r="B20" s="13" t="s">
        <v>87</v>
      </c>
      <c r="C20" s="108">
        <v>1.171740098261974E-2</v>
      </c>
      <c r="D20" s="108">
        <v>1.171740098261974E-2</v>
      </c>
      <c r="E20" s="108">
        <v>1.171740098261974E-2</v>
      </c>
      <c r="F20" s="108">
        <v>1.171740098261974E-2</v>
      </c>
    </row>
    <row r="21" spans="1:8" ht="15.75" customHeight="1" x14ac:dyDescent="0.25">
      <c r="B21" s="13" t="s">
        <v>88</v>
      </c>
      <c r="C21" s="108">
        <v>0.23891541467075139</v>
      </c>
      <c r="D21" s="108">
        <v>0.23891541467075139</v>
      </c>
      <c r="E21" s="108">
        <v>0.23891541467075139</v>
      </c>
      <c r="F21" s="108">
        <v>0.23891541467075139</v>
      </c>
    </row>
    <row r="22" spans="1:8" ht="15.75" customHeight="1" x14ac:dyDescent="0.25">
      <c r="B22" s="13" t="s">
        <v>89</v>
      </c>
      <c r="C22" s="108">
        <v>0.45668350996888069</v>
      </c>
      <c r="D22" s="108">
        <v>0.45668350996888069</v>
      </c>
      <c r="E22" s="108">
        <v>0.45668350996888069</v>
      </c>
      <c r="F22" s="108">
        <v>0.45668350996888069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3.8186174000000003E-2</v>
      </c>
    </row>
    <row r="27" spans="1:8" ht="15.75" customHeight="1" x14ac:dyDescent="0.25">
      <c r="B27" s="13" t="s">
        <v>92</v>
      </c>
      <c r="C27" s="108">
        <v>3.5979345000000003E-2</v>
      </c>
    </row>
    <row r="28" spans="1:8" ht="15.75" customHeight="1" x14ac:dyDescent="0.25">
      <c r="B28" s="13" t="s">
        <v>93</v>
      </c>
      <c r="C28" s="108">
        <v>0.17918920699999999</v>
      </c>
    </row>
    <row r="29" spans="1:8" ht="15.75" customHeight="1" x14ac:dyDescent="0.25">
      <c r="B29" s="13" t="s">
        <v>94</v>
      </c>
      <c r="C29" s="108">
        <v>9.3383905000000003E-2</v>
      </c>
    </row>
    <row r="30" spans="1:8" ht="15.75" customHeight="1" x14ac:dyDescent="0.25">
      <c r="B30" s="13" t="s">
        <v>95</v>
      </c>
      <c r="C30" s="108">
        <v>4.2695289999999983E-2</v>
      </c>
    </row>
    <row r="31" spans="1:8" ht="15.75" customHeight="1" x14ac:dyDescent="0.25">
      <c r="B31" s="13" t="s">
        <v>96</v>
      </c>
      <c r="C31" s="108">
        <v>0.135273369</v>
      </c>
    </row>
    <row r="32" spans="1:8" ht="15.75" customHeight="1" x14ac:dyDescent="0.25">
      <c r="B32" s="13" t="s">
        <v>97</v>
      </c>
      <c r="C32" s="108">
        <v>0.18705686599999999</v>
      </c>
    </row>
    <row r="33" spans="2:3" ht="15.75" customHeight="1" x14ac:dyDescent="0.25">
      <c r="B33" s="13" t="s">
        <v>98</v>
      </c>
      <c r="C33" s="108">
        <v>0.13805392899999999</v>
      </c>
    </row>
    <row r="34" spans="2:3" ht="15.75" customHeight="1" x14ac:dyDescent="0.25">
      <c r="B34" s="13" t="s">
        <v>99</v>
      </c>
      <c r="C34" s="108">
        <v>0.150181916</v>
      </c>
    </row>
    <row r="35" spans="2:3" ht="15.75" customHeight="1" x14ac:dyDescent="0.25">
      <c r="B35" s="18" t="s">
        <v>30</v>
      </c>
      <c r="C35" s="40">
        <f>SUM(C26:C34)</f>
        <v>1.0000000009999999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0.475058054954691</v>
      </c>
      <c r="D2" s="109">
        <f>IFERROR(1-_xlfn.NORM.DIST(_xlfn.NORM.INV(SUM(D4:D5), 0, 1) + 1, 0, 1, TRUE), "")</f>
        <v>0.475058054954691</v>
      </c>
      <c r="E2" s="109">
        <f>IFERROR(1-_xlfn.NORM.DIST(_xlfn.NORM.INV(SUM(E4:E5), 0, 1) + 1, 0, 1, TRUE), "")</f>
        <v>0.43360856792538005</v>
      </c>
      <c r="F2" s="109">
        <f>IFERROR(1-_xlfn.NORM.DIST(_xlfn.NORM.INV(SUM(F4:F5), 0, 1) + 1, 0, 1, TRUE), "")</f>
        <v>0.25352656323337064</v>
      </c>
      <c r="G2" s="109">
        <f>IFERROR(1-_xlfn.NORM.DIST(_xlfn.NORM.INV(SUM(G4:G5), 0, 1) + 1, 0, 1, TRUE), "")</f>
        <v>0.2216194680768302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0.35067555891294439</v>
      </c>
      <c r="D3" s="109">
        <f>IFERROR(_xlfn.NORM.DIST(_xlfn.NORM.INV(SUM(D4:D5), 0, 1) + 1, 0, 1, TRUE) - SUM(D4:D5), "")</f>
        <v>0.35067555891294439</v>
      </c>
      <c r="E3" s="109">
        <f>IFERROR(_xlfn.NORM.DIST(_xlfn.NORM.INV(SUM(E4:E5), 0, 1) + 1, 0, 1, TRUE) - SUM(E4:E5), "")</f>
        <v>0.36391426034255342</v>
      </c>
      <c r="F3" s="109">
        <f>IFERROR(_xlfn.NORM.DIST(_xlfn.NORM.INV(SUM(F4:F5), 0, 1) + 1, 0, 1, TRUE) - SUM(F4:F5), "")</f>
        <v>0.3782516801061524</v>
      </c>
      <c r="G3" s="109">
        <f>IFERROR(_xlfn.NORM.DIST(_xlfn.NORM.INV(SUM(G4:G5), 0, 1) + 1, 0, 1, TRUE) - SUM(G4:G5), "")</f>
        <v>0.37060261428526581</v>
      </c>
    </row>
    <row r="4" spans="1:15" ht="15.75" customHeight="1" x14ac:dyDescent="0.25">
      <c r="B4" s="7" t="s">
        <v>104</v>
      </c>
      <c r="C4" s="98">
        <v>0.10193014049492501</v>
      </c>
      <c r="D4" s="110">
        <v>0.10193014049492501</v>
      </c>
      <c r="E4" s="110">
        <v>0.12596887628672501</v>
      </c>
      <c r="F4" s="110">
        <v>0.21533782150803599</v>
      </c>
      <c r="G4" s="110">
        <v>0.23684384633384001</v>
      </c>
    </row>
    <row r="5" spans="1:15" ht="15.75" customHeight="1" x14ac:dyDescent="0.25">
      <c r="B5" s="7" t="s">
        <v>105</v>
      </c>
      <c r="C5" s="98">
        <v>7.2336245637439595E-2</v>
      </c>
      <c r="D5" s="110">
        <v>7.2336245637439595E-2</v>
      </c>
      <c r="E5" s="110">
        <v>7.6508295445341504E-2</v>
      </c>
      <c r="F5" s="110">
        <v>0.152883935152441</v>
      </c>
      <c r="G5" s="110">
        <v>0.17093407130406399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0.53956333682015789</v>
      </c>
      <c r="D8" s="109">
        <f>IFERROR(1-_xlfn.NORM.DIST(_xlfn.NORM.INV(SUM(D10:D11), 0, 1) + 1, 0, 1, TRUE), "")</f>
        <v>0.53956333682015789</v>
      </c>
      <c r="E8" s="109">
        <f>IFERROR(1-_xlfn.NORM.DIST(_xlfn.NORM.INV(SUM(E10:E11), 0, 1) + 1, 0, 1, TRUE), "")</f>
        <v>0.55371068519441824</v>
      </c>
      <c r="F8" s="109">
        <f>IFERROR(1-_xlfn.NORM.DIST(_xlfn.NORM.INV(SUM(F10:F11), 0, 1) + 1, 0, 1, TRUE), "")</f>
        <v>0.57179989067807235</v>
      </c>
      <c r="G8" s="109">
        <f>IFERROR(1-_xlfn.NORM.DIST(_xlfn.NORM.INV(SUM(G10:G11), 0, 1) + 1, 0, 1, TRUE), "")</f>
        <v>0.6480988115395635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0.3246253929329358</v>
      </c>
      <c r="D9" s="109">
        <f>IFERROR(_xlfn.NORM.DIST(_xlfn.NORM.INV(SUM(D10:D11), 0, 1) + 1, 0, 1, TRUE) - SUM(D10:D11), "")</f>
        <v>0.3246253929329358</v>
      </c>
      <c r="E9" s="109">
        <f>IFERROR(_xlfn.NORM.DIST(_xlfn.NORM.INV(SUM(E10:E11), 0, 1) + 1, 0, 1, TRUE) - SUM(E10:E11), "")</f>
        <v>0.31811046421017597</v>
      </c>
      <c r="F9" s="109">
        <f>IFERROR(_xlfn.NORM.DIST(_xlfn.NORM.INV(SUM(F10:F11), 0, 1) + 1, 0, 1, TRUE) - SUM(F10:F11), "")</f>
        <v>0.30939048710722616</v>
      </c>
      <c r="G9" s="109">
        <f>IFERROR(_xlfn.NORM.DIST(_xlfn.NORM.INV(SUM(G10:G11), 0, 1) + 1, 0, 1, TRUE) - SUM(G10:G11), "")</f>
        <v>0.26813752809433844</v>
      </c>
    </row>
    <row r="10" spans="1:15" ht="15.75" customHeight="1" x14ac:dyDescent="0.25">
      <c r="B10" s="7" t="s">
        <v>109</v>
      </c>
      <c r="C10" s="98">
        <v>8.3412722396723607E-2</v>
      </c>
      <c r="D10" s="110">
        <v>8.3412722396723607E-2</v>
      </c>
      <c r="E10" s="110">
        <v>8.7488805103706199E-2</v>
      </c>
      <c r="F10" s="110">
        <v>8.4725683809968408E-2</v>
      </c>
      <c r="G10" s="110">
        <v>6.2665159698191295E-2</v>
      </c>
    </row>
    <row r="11" spans="1:15" ht="15.75" customHeight="1" x14ac:dyDescent="0.25">
      <c r="B11" s="7" t="s">
        <v>110</v>
      </c>
      <c r="C11" s="98">
        <v>5.2398547850182699E-2</v>
      </c>
      <c r="D11" s="110">
        <v>5.2398547850182699E-2</v>
      </c>
      <c r="E11" s="110">
        <v>4.0690045491699599E-2</v>
      </c>
      <c r="F11" s="110">
        <v>3.4083938404733102E-2</v>
      </c>
      <c r="G11" s="110">
        <v>2.1098500667906799E-2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0.58198644774999997</v>
      </c>
      <c r="D14" s="112">
        <v>0.553427985096</v>
      </c>
      <c r="E14" s="112">
        <v>0.553427985096</v>
      </c>
      <c r="F14" s="112">
        <v>0.36485581126</v>
      </c>
      <c r="G14" s="112">
        <v>0.36485581126</v>
      </c>
      <c r="H14" s="98">
        <v>0.39</v>
      </c>
      <c r="I14" s="113">
        <v>0.39</v>
      </c>
      <c r="J14" s="113">
        <v>0.39</v>
      </c>
      <c r="K14" s="113">
        <v>0.39</v>
      </c>
      <c r="L14" s="98">
        <v>0.30599999999999999</v>
      </c>
      <c r="M14" s="113">
        <v>0.30599999999999999</v>
      </c>
      <c r="N14" s="113">
        <v>0.30599999999999999</v>
      </c>
      <c r="O14" s="113">
        <v>0.30599999999999999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0.28106744500862374</v>
      </c>
      <c r="D15" s="109">
        <f t="shared" si="0"/>
        <v>0.26727527826218772</v>
      </c>
      <c r="E15" s="109">
        <f t="shared" si="0"/>
        <v>0.26727527826218772</v>
      </c>
      <c r="F15" s="109">
        <f t="shared" si="0"/>
        <v>0.17620528976896072</v>
      </c>
      <c r="G15" s="109">
        <f t="shared" si="0"/>
        <v>0.17620528976896072</v>
      </c>
      <c r="H15" s="109">
        <f t="shared" si="0"/>
        <v>0.18834855</v>
      </c>
      <c r="I15" s="109">
        <f t="shared" si="0"/>
        <v>0.18834855</v>
      </c>
      <c r="J15" s="109">
        <f t="shared" si="0"/>
        <v>0.18834855</v>
      </c>
      <c r="K15" s="109">
        <f t="shared" si="0"/>
        <v>0.18834855</v>
      </c>
      <c r="L15" s="109">
        <f t="shared" si="0"/>
        <v>0.14778116999999999</v>
      </c>
      <c r="M15" s="109">
        <f t="shared" si="0"/>
        <v>0.14778116999999999</v>
      </c>
      <c r="N15" s="109">
        <f t="shared" si="0"/>
        <v>0.14778116999999999</v>
      </c>
      <c r="O15" s="109">
        <f t="shared" si="0"/>
        <v>0.14778116999999999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0.62783992564380298</v>
      </c>
      <c r="D2" s="110">
        <v>0.43262884734375001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0.14720586077719799</v>
      </c>
      <c r="D3" s="110">
        <v>0.177978600203125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0.18765317901068701</v>
      </c>
      <c r="D4" s="110">
        <v>0.32684205140624989</v>
      </c>
      <c r="E4" s="110">
        <v>0.87710333811609398</v>
      </c>
      <c r="F4" s="110">
        <v>0.70024838180918392</v>
      </c>
      <c r="G4" s="110">
        <v>0</v>
      </c>
    </row>
    <row r="5" spans="1:7" x14ac:dyDescent="0.25">
      <c r="B5" s="80" t="s">
        <v>122</v>
      </c>
      <c r="C5" s="109">
        <v>3.7301034568311998E-2</v>
      </c>
      <c r="D5" s="109">
        <v>6.2550501046875095E-2</v>
      </c>
      <c r="E5" s="109">
        <v>0.12289666188390599</v>
      </c>
      <c r="F5" s="109">
        <v>0.29975161819081608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2022-02-21T22:33:35Z</dcterms:modified>
</cp:coreProperties>
</file>