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6794FCF8-0577-43E8-8A08-97B2CDAFB563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I39" i="2"/>
  <c r="H39" i="2"/>
  <c r="G39" i="2"/>
  <c r="H38" i="2"/>
  <c r="I38" i="2" s="1"/>
  <c r="G38" i="2"/>
  <c r="A38" i="2"/>
  <c r="A37" i="2"/>
  <c r="A30" i="2"/>
  <c r="A29" i="2"/>
  <c r="A22" i="2"/>
  <c r="A21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A15" i="2" l="1"/>
  <c r="A23" i="2"/>
  <c r="A31" i="2"/>
  <c r="A3" i="2"/>
  <c r="A16" i="2"/>
  <c r="A24" i="2"/>
  <c r="A32" i="2"/>
  <c r="A17" i="2"/>
  <c r="A25" i="2"/>
  <c r="A33" i="2"/>
  <c r="A18" i="2"/>
  <c r="A26" i="2"/>
  <c r="A34" i="2"/>
  <c r="A39" i="2"/>
  <c r="A19" i="2"/>
  <c r="A27" i="2"/>
  <c r="A35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<sst xmlns="http://schemas.openxmlformats.org/spreadsheetml/2006/main" count="2092" uniqueCount="341">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</sst>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1126503.828125</v>
      </c>
    </row>
    <row r="8" spans="1:3" ht="15" customHeight="1" x14ac:dyDescent="0.25">
      <c r="B8" s="7" t="s">
        <v>8</v>
      </c>
      <c r="C8" s="38">
        <v>0.38</v>
      </c>
    </row>
    <row r="9" spans="1:3" ht="15" customHeight="1" x14ac:dyDescent="0.25">
      <c r="B9" s="7" t="s">
        <v>9</v>
      </c>
      <c r="C9" s="98">
        <v>0.3362</v>
      </c>
    </row>
    <row r="10" spans="1:3" ht="15" customHeight="1" x14ac:dyDescent="0.25">
      <c r="B10" s="7" t="s">
        <v>10</v>
      </c>
      <c r="C10" s="98">
        <v>0.299615001678467</v>
      </c>
    </row>
    <row r="11" spans="1:3" ht="15" customHeight="1" x14ac:dyDescent="0.25">
      <c r="B11" s="7" t="s">
        <v>11</v>
      </c>
      <c r="C11" s="98">
        <v>0.54899999999999993</v>
      </c>
    </row>
    <row r="12" spans="1:3" ht="15" customHeight="1" x14ac:dyDescent="0.25">
      <c r="B12" s="7" t="s">
        <v>12</v>
      </c>
      <c r="C12" s="98">
        <v>0.63</v>
      </c>
    </row>
    <row r="13" spans="1:3" ht="15" customHeight="1" x14ac:dyDescent="0.25">
      <c r="B13" s="7" t="s">
        <v>13</v>
      </c>
      <c r="C13" s="98">
        <v>0.59399999999999997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8.43E-2</v>
      </c>
    </row>
    <row r="24" spans="1:3" ht="15" customHeight="1" x14ac:dyDescent="0.25">
      <c r="B24" s="10" t="s">
        <v>22</v>
      </c>
      <c r="C24" s="98">
        <v>0.46639999999999998</v>
      </c>
    </row>
    <row r="25" spans="1:3" ht="15" customHeight="1" x14ac:dyDescent="0.25">
      <c r="B25" s="10" t="s">
        <v>23</v>
      </c>
      <c r="C25" s="98">
        <v>0.34599999999999992</v>
      </c>
    </row>
    <row r="26" spans="1:3" ht="15" customHeight="1" x14ac:dyDescent="0.25">
      <c r="B26" s="10" t="s">
        <v>24</v>
      </c>
      <c r="C26" s="98">
        <v>0.1033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0.22272866450000001</v>
      </c>
    </row>
    <row r="30" spans="1:3" ht="14.25" customHeight="1" x14ac:dyDescent="0.25">
      <c r="B30" s="16" t="s">
        <v>27</v>
      </c>
      <c r="C30" s="99">
        <v>0.11672141079999999</v>
      </c>
    </row>
    <row r="31" spans="1:3" ht="14.25" customHeight="1" x14ac:dyDescent="0.25">
      <c r="B31" s="16" t="s">
        <v>28</v>
      </c>
      <c r="C31" s="99">
        <v>0.1612750433</v>
      </c>
    </row>
    <row r="32" spans="1:3" ht="14.25" customHeight="1" x14ac:dyDescent="0.25">
      <c r="B32" s="16" t="s">
        <v>29</v>
      </c>
      <c r="C32" s="99">
        <v>0.49927488139999998</v>
      </c>
    </row>
    <row r="33" spans="1:5" ht="13" customHeight="1" x14ac:dyDescent="0.25">
      <c r="B33" s="18" t="s">
        <v>30</v>
      </c>
      <c r="C33" s="40">
        <f>SUM(C29:C32)</f>
        <v>1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21.937272220998999</v>
      </c>
    </row>
    <row r="38" spans="1:5" ht="15" customHeight="1" x14ac:dyDescent="0.25">
      <c r="B38" s="22" t="s">
        <v>34</v>
      </c>
      <c r="C38" s="37">
        <v>35.850004273224798</v>
      </c>
      <c r="D38" s="102"/>
      <c r="E38" s="103"/>
    </row>
    <row r="39" spans="1:5" ht="15" customHeight="1" x14ac:dyDescent="0.25">
      <c r="B39" s="22" t="s">
        <v>35</v>
      </c>
      <c r="C39" s="37">
        <v>44.794393113841203</v>
      </c>
      <c r="D39" s="102"/>
      <c r="E39" s="102"/>
    </row>
    <row r="40" spans="1:5" ht="15" customHeight="1" x14ac:dyDescent="0.25">
      <c r="B40" s="22" t="s">
        <v>36</v>
      </c>
      <c r="C40" s="104">
        <v>1.45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16.094133129999999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1.4634599999999999E-2</v>
      </c>
      <c r="D45" s="102"/>
    </row>
    <row r="46" spans="1:5" ht="15.75" customHeight="1" x14ac:dyDescent="0.25">
      <c r="B46" s="22" t="s">
        <v>41</v>
      </c>
      <c r="C46" s="98">
        <v>5.0796189999999998E-2</v>
      </c>
      <c r="D46" s="102"/>
    </row>
    <row r="47" spans="1:5" ht="15.75" customHeight="1" x14ac:dyDescent="0.25">
      <c r="B47" s="22" t="s">
        <v>42</v>
      </c>
      <c r="C47" s="98">
        <v>0.20137769999999999</v>
      </c>
      <c r="D47" s="102"/>
      <c r="E47" s="103"/>
    </row>
    <row r="48" spans="1:5" ht="15" customHeight="1" x14ac:dyDescent="0.25">
      <c r="B48" s="22" t="s">
        <v>43</v>
      </c>
      <c r="C48" s="39">
        <v>0.73319151000000005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2.2000000000000002</v>
      </c>
      <c r="D51" s="102"/>
    </row>
    <row r="52" spans="1:4" ht="15" customHeight="1" x14ac:dyDescent="0.25">
      <c r="B52" s="22" t="s">
        <v>46</v>
      </c>
      <c r="C52" s="104">
        <v>2.2000000000000002</v>
      </c>
    </row>
    <row r="53" spans="1:4" ht="15.75" customHeight="1" x14ac:dyDescent="0.25">
      <c r="B53" s="22" t="s">
        <v>47</v>
      </c>
      <c r="C53" s="104">
        <v>2.2000000000000002</v>
      </c>
    </row>
    <row r="54" spans="1:4" ht="15.75" customHeight="1" x14ac:dyDescent="0.25">
      <c r="B54" s="22" t="s">
        <v>48</v>
      </c>
      <c r="C54" s="104">
        <v>2.2000000000000002</v>
      </c>
    </row>
    <row r="55" spans="1:4" ht="15.75" customHeight="1" x14ac:dyDescent="0.25">
      <c r="B55" s="22" t="s">
        <v>49</v>
      </c>
      <c r="C55" s="104">
        <v>2.2000000000000002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2.1363636363636359E-2</v>
      </c>
    </row>
    <row r="59" spans="1:4" ht="15.75" customHeight="1" x14ac:dyDescent="0.25">
      <c r="B59" s="22" t="s">
        <v>52</v>
      </c>
      <c r="C59" s="98">
        <v>0.51547399999999999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0.11182714676803999</v>
      </c>
      <c r="C2" s="95">
        <v>0.95</v>
      </c>
      <c r="D2" s="96">
        <v>47.543631948570813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44.919838190254588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250.00911159604749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0.45726456517724012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14.44490005937495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14.44490005937495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14.44490005937495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14.44490005937495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14.44490005937495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14.44490005937495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0.49020069999999999</v>
      </c>
      <c r="C16" s="95">
        <v>0.95</v>
      </c>
      <c r="D16" s="96">
        <v>0.50118534166365525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0.32183600000000001</v>
      </c>
      <c r="C18" s="95">
        <v>0.95</v>
      </c>
      <c r="D18" s="96">
        <v>5.8130849373349918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0.32183600000000001</v>
      </c>
      <c r="C19" s="95">
        <v>0.95</v>
      </c>
      <c r="D19" s="96">
        <v>5.8130849373349918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0.56520359999999992</v>
      </c>
      <c r="C21" s="95">
        <v>0.95</v>
      </c>
      <c r="D21" s="96">
        <v>6.2567341056259016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24.762499177403289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4.8184289348295932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0.42295321447236001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8.0286750000000004E-2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20.75026783587251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7.3357549999999994E-2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</v>
      </c>
      <c r="C29" s="95">
        <v>0.95</v>
      </c>
      <c r="D29" s="96">
        <v>89.715813228316819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8.5059079955029304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1.0438007378265179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0.244063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0.68503119999999995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0.18381099396009401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6.1730292806260767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0.12949266967669801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2.2000000000000002</v>
      </c>
      <c r="C2" s="119">
        <f>'Baseline year population inputs'!C52</f>
        <v>2.2000000000000002</v>
      </c>
      <c r="D2" s="119">
        <f>'Baseline year population inputs'!C53</f>
        <v>2.2000000000000002</v>
      </c>
      <c r="E2" s="119">
        <f>'Baseline year population inputs'!C54</f>
        <v>2.2000000000000002</v>
      </c>
      <c r="F2" s="119">
        <f>'Baseline year population inputs'!C55</f>
        <v>2.2000000000000002</v>
      </c>
    </row>
    <row r="3" spans="1:6" ht="15.75" customHeight="1" x14ac:dyDescent="0.25">
      <c r="A3" s="4" t="s">
        <v>204</v>
      </c>
      <c r="B3" s="119">
        <f>frac_mam_1month * 2.6</f>
        <v>0.18773492139999998</v>
      </c>
      <c r="C3" s="119">
        <f>frac_mam_1_5months * 2.6</f>
        <v>0.18773492139999998</v>
      </c>
      <c r="D3" s="119">
        <f>frac_mam_6_11months * 2.6</f>
        <v>0.27492543000000003</v>
      </c>
      <c r="E3" s="119">
        <f>frac_mam_12_23months * 2.6</f>
        <v>0.16999596120000002</v>
      </c>
      <c r="F3" s="119">
        <f>frac_mam_24_59months * 2.6</f>
        <v>0.115547887</v>
      </c>
    </row>
    <row r="4" spans="1:6" ht="15.75" customHeight="1" x14ac:dyDescent="0.25">
      <c r="A4" s="4" t="s">
        <v>205</v>
      </c>
      <c r="B4" s="119">
        <f>frac_sam_1month * 2.6</f>
        <v>5.5364860200000005E-2</v>
      </c>
      <c r="C4" s="119">
        <f>frac_sam_1_5months * 2.6</f>
        <v>5.5364860200000005E-2</v>
      </c>
      <c r="D4" s="119">
        <f>frac_sam_6_11months * 2.6</f>
        <v>0.12190114560000001</v>
      </c>
      <c r="E4" s="119">
        <f>frac_sam_12_23months * 2.6</f>
        <v>0.14201703100000002</v>
      </c>
      <c r="F4" s="119">
        <f>frac_sam_24_59months * 2.6</f>
        <v>7.8966672200000004E-2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0.38</v>
      </c>
      <c r="E2" s="48">
        <f>food_insecure</f>
        <v>0.38</v>
      </c>
      <c r="F2" s="48">
        <f>food_insecure</f>
        <v>0.38</v>
      </c>
      <c r="G2" s="48">
        <f>food_insecure</f>
        <v>0.38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0.38</v>
      </c>
      <c r="F5" s="48">
        <f>food_insecure</f>
        <v>0.38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4.6999999999999993E-2</v>
      </c>
      <c r="D7" s="48">
        <f>diarrhoea_1_5mo*frac_diarrhea_severe</f>
        <v>4.6999999999999993E-2</v>
      </c>
      <c r="E7" s="48">
        <f>diarrhoea_6_11mo*frac_diarrhea_severe</f>
        <v>4.6999999999999993E-2</v>
      </c>
      <c r="F7" s="48">
        <f>diarrhoea_12_23mo*frac_diarrhea_severe</f>
        <v>4.6999999999999993E-2</v>
      </c>
      <c r="G7" s="48">
        <f>diarrhoea_24_59mo*frac_diarrhea_severe</f>
        <v>4.6999999999999993E-2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0.38</v>
      </c>
      <c r="F8" s="48">
        <f>food_insecure</f>
        <v>0.38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0.38</v>
      </c>
      <c r="F9" s="48">
        <f>food_insecure</f>
        <v>0.38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0.63</v>
      </c>
      <c r="E10" s="48">
        <f>IF(ISBLANK(comm_deliv), frac_children_health_facility,1)</f>
        <v>0.63</v>
      </c>
      <c r="F10" s="48">
        <f>IF(ISBLANK(comm_deliv), frac_children_health_facility,1)</f>
        <v>0.63</v>
      </c>
      <c r="G10" s="48">
        <f>IF(ISBLANK(comm_deliv), frac_children_health_facility,1)</f>
        <v>0.63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4.6999999999999993E-2</v>
      </c>
      <c r="D12" s="48">
        <f>diarrhoea_1_5mo*frac_diarrhea_severe</f>
        <v>4.6999999999999993E-2</v>
      </c>
      <c r="E12" s="48">
        <f>diarrhoea_6_11mo*frac_diarrhea_severe</f>
        <v>4.6999999999999993E-2</v>
      </c>
      <c r="F12" s="48">
        <f>diarrhoea_12_23mo*frac_diarrhea_severe</f>
        <v>4.6999999999999993E-2</v>
      </c>
      <c r="G12" s="48">
        <f>diarrhoea_24_59mo*frac_diarrhea_severe</f>
        <v>4.6999999999999993E-2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0.38</v>
      </c>
      <c r="I15" s="48">
        <f>food_insecure</f>
        <v>0.38</v>
      </c>
      <c r="J15" s="48">
        <f>food_insecure</f>
        <v>0.38</v>
      </c>
      <c r="K15" s="48">
        <f>food_insecure</f>
        <v>0.38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0.54899999999999993</v>
      </c>
      <c r="I18" s="48">
        <f>frac_PW_health_facility</f>
        <v>0.54899999999999993</v>
      </c>
      <c r="J18" s="48">
        <f>frac_PW_health_facility</f>
        <v>0.54899999999999993</v>
      </c>
      <c r="K18" s="48">
        <f>frac_PW_health_facility</f>
        <v>0.54899999999999993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0.3362</v>
      </c>
      <c r="I19" s="48">
        <f>frac_malaria_risk</f>
        <v>0.3362</v>
      </c>
      <c r="J19" s="48">
        <f>frac_malaria_risk</f>
        <v>0.3362</v>
      </c>
      <c r="K19" s="48">
        <f>frac_malaria_risk</f>
        <v>0.3362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0.59399999999999997</v>
      </c>
      <c r="M24" s="48">
        <f>famplan_unmet_need</f>
        <v>0.59399999999999997</v>
      </c>
      <c r="N24" s="48">
        <f>famplan_unmet_need</f>
        <v>0.59399999999999997</v>
      </c>
      <c r="O24" s="48">
        <f>famplan_unmet_need</f>
        <v>0.59399999999999997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0.39907937204360949</v>
      </c>
      <c r="M25" s="48">
        <f>(1-food_insecure)*(0.49)+food_insecure*(0.7)</f>
        <v>0.56979999999999997</v>
      </c>
      <c r="N25" s="48">
        <f>(1-food_insecure)*(0.49)+food_insecure*(0.7)</f>
        <v>0.56979999999999997</v>
      </c>
      <c r="O25" s="48">
        <f>(1-food_insecure)*(0.49)+food_insecure*(0.7)</f>
        <v>0.56979999999999997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0.17103401659011835</v>
      </c>
      <c r="M26" s="48">
        <f>(1-food_insecure)*(0.21)+food_insecure*(0.3)</f>
        <v>0.24419999999999997</v>
      </c>
      <c r="N26" s="48">
        <f>(1-food_insecure)*(0.21)+food_insecure*(0.3)</f>
        <v>0.24419999999999997</v>
      </c>
      <c r="O26" s="48">
        <f>(1-food_insecure)*(0.21)+food_insecure*(0.3)</f>
        <v>0.24419999999999997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0.13027160968780513</v>
      </c>
      <c r="M27" s="48">
        <f>(1-food_insecure)*(0.3)</f>
        <v>0.186</v>
      </c>
      <c r="N27" s="48">
        <f>(1-food_insecure)*(0.3)</f>
        <v>0.186</v>
      </c>
      <c r="O27" s="48">
        <f>(1-food_insecure)*(0.3)</f>
        <v>0.186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0.299615001678467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0.3362</v>
      </c>
      <c r="D34" s="48">
        <f t="shared" si="3"/>
        <v>0.3362</v>
      </c>
      <c r="E34" s="48">
        <f t="shared" si="3"/>
        <v>0.3362</v>
      </c>
      <c r="F34" s="48">
        <f t="shared" si="3"/>
        <v>0.3362</v>
      </c>
      <c r="G34" s="48">
        <f t="shared" si="3"/>
        <v>0.3362</v>
      </c>
      <c r="H34" s="48">
        <f t="shared" si="3"/>
        <v>0.3362</v>
      </c>
      <c r="I34" s="48">
        <f t="shared" si="3"/>
        <v>0.3362</v>
      </c>
      <c r="J34" s="48">
        <f t="shared" si="3"/>
        <v>0.3362</v>
      </c>
      <c r="K34" s="48">
        <f t="shared" si="3"/>
        <v>0.3362</v>
      </c>
      <c r="L34" s="48">
        <f t="shared" si="3"/>
        <v>0.3362</v>
      </c>
      <c r="M34" s="48">
        <f t="shared" si="3"/>
        <v>0.3362</v>
      </c>
      <c r="N34" s="48">
        <f t="shared" si="3"/>
        <v>0.3362</v>
      </c>
      <c r="O34" s="48">
        <f t="shared" si="3"/>
        <v>0.3362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233682.68</v>
      </c>
      <c r="C2" s="41">
        <v>443000</v>
      </c>
      <c r="D2" s="41">
        <v>758000</v>
      </c>
      <c r="E2" s="41">
        <v>552000</v>
      </c>
      <c r="F2" s="41">
        <v>371000</v>
      </c>
      <c r="G2" s="105">
        <f t="shared" ref="G2:G11" si="0">C2+D2+E2+F2</f>
        <v>2124000</v>
      </c>
      <c r="H2" s="105">
        <f t="shared" ref="H2:H11" si="1">(B2 + stillbirth*B2/(1000-stillbirth))/(1-abortion)</f>
        <v>269892.18068671803</v>
      </c>
      <c r="I2" s="105">
        <f t="shared" ref="I2:I11" si="2">G2-H2</f>
        <v>1854107.8193132819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235776.046</v>
      </c>
      <c r="C3" s="106">
        <v>449000</v>
      </c>
      <c r="D3" s="106">
        <v>777000</v>
      </c>
      <c r="E3" s="106">
        <v>562000</v>
      </c>
      <c r="F3" s="106">
        <v>386000</v>
      </c>
      <c r="G3" s="105">
        <f t="shared" si="0"/>
        <v>2174000</v>
      </c>
      <c r="H3" s="105">
        <f t="shared" si="1"/>
        <v>272309.91705774661</v>
      </c>
      <c r="I3" s="105">
        <f t="shared" si="2"/>
        <v>1901690.0829422534</v>
      </c>
    </row>
    <row r="4" spans="1:9" ht="15.75" customHeight="1" x14ac:dyDescent="0.25">
      <c r="A4" s="7">
        <f t="shared" si="3"/>
        <v>2023</v>
      </c>
      <c r="B4" s="41">
        <v>237805.46400000001</v>
      </c>
      <c r="C4" s="106">
        <v>455000</v>
      </c>
      <c r="D4" s="106">
        <v>795000</v>
      </c>
      <c r="E4" s="106">
        <v>570000</v>
      </c>
      <c r="F4" s="106">
        <v>403000</v>
      </c>
      <c r="G4" s="105">
        <f t="shared" si="0"/>
        <v>2223000</v>
      </c>
      <c r="H4" s="105">
        <f t="shared" si="1"/>
        <v>274653.79658508208</v>
      </c>
      <c r="I4" s="105">
        <f t="shared" si="2"/>
        <v>1948346.2034149179</v>
      </c>
    </row>
    <row r="5" spans="1:9" ht="15.75" customHeight="1" x14ac:dyDescent="0.25">
      <c r="A5" s="7">
        <f t="shared" si="3"/>
        <v>2024</v>
      </c>
      <c r="B5" s="41">
        <v>239744.75399999999</v>
      </c>
      <c r="C5" s="106">
        <v>461000</v>
      </c>
      <c r="D5" s="106">
        <v>812000</v>
      </c>
      <c r="E5" s="106">
        <v>578000</v>
      </c>
      <c r="F5" s="106">
        <v>420000</v>
      </c>
      <c r="G5" s="105">
        <f t="shared" si="0"/>
        <v>2271000</v>
      </c>
      <c r="H5" s="105">
        <f t="shared" si="1"/>
        <v>276893.58263633732</v>
      </c>
      <c r="I5" s="105">
        <f t="shared" si="2"/>
        <v>1994106.4173636627</v>
      </c>
    </row>
    <row r="6" spans="1:9" ht="15.75" customHeight="1" x14ac:dyDescent="0.25">
      <c r="A6" s="7">
        <f t="shared" si="3"/>
        <v>2025</v>
      </c>
      <c r="B6" s="41">
        <v>241619.04800000001</v>
      </c>
      <c r="C6" s="106">
        <v>466000</v>
      </c>
      <c r="D6" s="106">
        <v>828000</v>
      </c>
      <c r="E6" s="106">
        <v>586000</v>
      </c>
      <c r="F6" s="106">
        <v>437000</v>
      </c>
      <c r="G6" s="105">
        <f t="shared" si="0"/>
        <v>2317000</v>
      </c>
      <c r="H6" s="105">
        <f t="shared" si="1"/>
        <v>279058.30145464267</v>
      </c>
      <c r="I6" s="105">
        <f t="shared" si="2"/>
        <v>2037941.6985453572</v>
      </c>
    </row>
    <row r="7" spans="1:9" ht="15.75" customHeight="1" x14ac:dyDescent="0.25">
      <c r="A7" s="7">
        <f t="shared" si="3"/>
        <v>2026</v>
      </c>
      <c r="B7" s="41">
        <v>243541.10079999999</v>
      </c>
      <c r="C7" s="106">
        <v>471000</v>
      </c>
      <c r="D7" s="106">
        <v>843000</v>
      </c>
      <c r="E7" s="106">
        <v>593000</v>
      </c>
      <c r="F7" s="106">
        <v>454000</v>
      </c>
      <c r="G7" s="105">
        <f t="shared" si="0"/>
        <v>2361000</v>
      </c>
      <c r="H7" s="105">
        <f t="shared" si="1"/>
        <v>281278.17937450827</v>
      </c>
      <c r="I7" s="105">
        <f t="shared" si="2"/>
        <v>2079721.8206254917</v>
      </c>
    </row>
    <row r="8" spans="1:9" ht="15.75" customHeight="1" x14ac:dyDescent="0.25">
      <c r="A8" s="7">
        <f t="shared" si="3"/>
        <v>2027</v>
      </c>
      <c r="B8" s="41">
        <v>245376.01439999999</v>
      </c>
      <c r="C8" s="106">
        <v>475000</v>
      </c>
      <c r="D8" s="106">
        <v>858000</v>
      </c>
      <c r="E8" s="106">
        <v>600000</v>
      </c>
      <c r="F8" s="106">
        <v>470000</v>
      </c>
      <c r="G8" s="105">
        <f t="shared" si="0"/>
        <v>2403000</v>
      </c>
      <c r="H8" s="105">
        <f t="shared" si="1"/>
        <v>283397.41573757853</v>
      </c>
      <c r="I8" s="105">
        <f t="shared" si="2"/>
        <v>2119602.5842624214</v>
      </c>
    </row>
    <row r="9" spans="1:9" ht="15.75" customHeight="1" x14ac:dyDescent="0.25">
      <c r="A9" s="7">
        <f t="shared" si="3"/>
        <v>2028</v>
      </c>
      <c r="B9" s="41">
        <v>247148.16960000011</v>
      </c>
      <c r="C9" s="106">
        <v>479000</v>
      </c>
      <c r="D9" s="106">
        <v>871000</v>
      </c>
      <c r="E9" s="106">
        <v>605000</v>
      </c>
      <c r="F9" s="106">
        <v>485000</v>
      </c>
      <c r="G9" s="105">
        <f t="shared" si="0"/>
        <v>2440000</v>
      </c>
      <c r="H9" s="105">
        <f t="shared" si="1"/>
        <v>285444.16918735643</v>
      </c>
      <c r="I9" s="105">
        <f t="shared" si="2"/>
        <v>2154555.8308126437</v>
      </c>
    </row>
    <row r="10" spans="1:9" ht="15.75" customHeight="1" x14ac:dyDescent="0.25">
      <c r="A10" s="7">
        <f t="shared" si="3"/>
        <v>2029</v>
      </c>
      <c r="B10" s="41">
        <v>248832.68479999999</v>
      </c>
      <c r="C10" s="106">
        <v>483000</v>
      </c>
      <c r="D10" s="106">
        <v>884000</v>
      </c>
      <c r="E10" s="106">
        <v>609000</v>
      </c>
      <c r="F10" s="106">
        <v>500000</v>
      </c>
      <c r="G10" s="105">
        <f t="shared" si="0"/>
        <v>2476000</v>
      </c>
      <c r="H10" s="105">
        <f t="shared" si="1"/>
        <v>287389.70268058701</v>
      </c>
      <c r="I10" s="105">
        <f t="shared" si="2"/>
        <v>2188610.2973194132</v>
      </c>
    </row>
    <row r="11" spans="1:9" ht="15.75" customHeight="1" x14ac:dyDescent="0.25">
      <c r="A11" s="7">
        <f t="shared" si="3"/>
        <v>2030</v>
      </c>
      <c r="B11" s="41">
        <v>250429.56</v>
      </c>
      <c r="C11" s="106">
        <v>487000</v>
      </c>
      <c r="D11" s="106">
        <v>895000</v>
      </c>
      <c r="E11" s="106">
        <v>612000</v>
      </c>
      <c r="F11" s="106">
        <v>512000</v>
      </c>
      <c r="G11" s="105">
        <f t="shared" si="0"/>
        <v>2506000</v>
      </c>
      <c r="H11" s="105">
        <f t="shared" si="1"/>
        <v>289234.01621727081</v>
      </c>
      <c r="I11" s="105">
        <f t="shared" si="2"/>
        <v>2216765.9837827291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5.7541120243966206E-3</v>
      </c>
    </row>
    <row r="4" spans="1:8" ht="15.75" customHeight="1" x14ac:dyDescent="0.25">
      <c r="B4" s="13" t="s">
        <v>69</v>
      </c>
      <c r="C4" s="108">
        <v>0.14268318488338941</v>
      </c>
    </row>
    <row r="5" spans="1:8" ht="15.75" customHeight="1" x14ac:dyDescent="0.25">
      <c r="B5" s="13" t="s">
        <v>70</v>
      </c>
      <c r="C5" s="108">
        <v>6.5785561720206831E-2</v>
      </c>
    </row>
    <row r="6" spans="1:8" ht="15.75" customHeight="1" x14ac:dyDescent="0.25">
      <c r="B6" s="13" t="s">
        <v>71</v>
      </c>
      <c r="C6" s="108">
        <v>0.27520021588024851</v>
      </c>
    </row>
    <row r="7" spans="1:8" ht="15.75" customHeight="1" x14ac:dyDescent="0.25">
      <c r="B7" s="13" t="s">
        <v>72</v>
      </c>
      <c r="C7" s="108">
        <v>0.29976734700656832</v>
      </c>
    </row>
    <row r="8" spans="1:8" ht="15.75" customHeight="1" x14ac:dyDescent="0.25">
      <c r="B8" s="13" t="s">
        <v>73</v>
      </c>
      <c r="C8" s="108">
        <v>9.0253690999365765E-3</v>
      </c>
    </row>
    <row r="9" spans="1:8" ht="15.75" customHeight="1" x14ac:dyDescent="0.25">
      <c r="B9" s="13" t="s">
        <v>74</v>
      </c>
      <c r="C9" s="108">
        <v>0.11030239763639831</v>
      </c>
    </row>
    <row r="10" spans="1:8" ht="15.75" customHeight="1" x14ac:dyDescent="0.25">
      <c r="B10" s="13" t="s">
        <v>75</v>
      </c>
      <c r="C10" s="108">
        <v>9.1481811748855404E-2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0.14302478308377489</v>
      </c>
      <c r="D14" s="107">
        <v>0.14302478308377489</v>
      </c>
      <c r="E14" s="107">
        <v>0.14302478308377489</v>
      </c>
      <c r="F14" s="107">
        <v>0.14302478308377489</v>
      </c>
    </row>
    <row r="15" spans="1:8" ht="15.75" customHeight="1" x14ac:dyDescent="0.25">
      <c r="B15" s="13" t="s">
        <v>82</v>
      </c>
      <c r="C15" s="108">
        <v>0.25719474973121792</v>
      </c>
      <c r="D15" s="108">
        <v>0.25719474973121792</v>
      </c>
      <c r="E15" s="108">
        <v>0.25719474973121792</v>
      </c>
      <c r="F15" s="108">
        <v>0.25719474973121792</v>
      </c>
    </row>
    <row r="16" spans="1:8" ht="15.75" customHeight="1" x14ac:dyDescent="0.25">
      <c r="B16" s="13" t="s">
        <v>83</v>
      </c>
      <c r="C16" s="108">
        <v>3.12898059807699E-2</v>
      </c>
      <c r="D16" s="108">
        <v>3.12898059807699E-2</v>
      </c>
      <c r="E16" s="108">
        <v>3.12898059807699E-2</v>
      </c>
      <c r="F16" s="108">
        <v>3.12898059807699E-2</v>
      </c>
    </row>
    <row r="17" spans="1:8" ht="15.75" customHeight="1" x14ac:dyDescent="0.25">
      <c r="B17" s="13" t="s">
        <v>84</v>
      </c>
      <c r="C17" s="108">
        <v>1.3110986853380739E-2</v>
      </c>
      <c r="D17" s="108">
        <v>1.3110986853380739E-2</v>
      </c>
      <c r="E17" s="108">
        <v>1.3110986853380739E-2</v>
      </c>
      <c r="F17" s="108">
        <v>1.3110986853380739E-2</v>
      </c>
    </row>
    <row r="18" spans="1:8" ht="15.75" customHeight="1" x14ac:dyDescent="0.25">
      <c r="B18" s="13" t="s">
        <v>85</v>
      </c>
      <c r="C18" s="108">
        <v>2.042601631376223E-2</v>
      </c>
      <c r="D18" s="108">
        <v>2.042601631376223E-2</v>
      </c>
      <c r="E18" s="108">
        <v>2.042601631376223E-2</v>
      </c>
      <c r="F18" s="108">
        <v>2.042601631376223E-2</v>
      </c>
    </row>
    <row r="19" spans="1:8" ht="15.75" customHeight="1" x14ac:dyDescent="0.25">
      <c r="B19" s="13" t="s">
        <v>86</v>
      </c>
      <c r="C19" s="108">
        <v>3.053242524240431E-2</v>
      </c>
      <c r="D19" s="108">
        <v>3.053242524240431E-2</v>
      </c>
      <c r="E19" s="108">
        <v>3.053242524240431E-2</v>
      </c>
      <c r="F19" s="108">
        <v>3.053242524240431E-2</v>
      </c>
    </row>
    <row r="20" spans="1:8" ht="15.75" customHeight="1" x14ac:dyDescent="0.25">
      <c r="B20" s="13" t="s">
        <v>87</v>
      </c>
      <c r="C20" s="108">
        <v>3.9840904550209007E-2</v>
      </c>
      <c r="D20" s="108">
        <v>3.9840904550209007E-2</v>
      </c>
      <c r="E20" s="108">
        <v>3.9840904550209007E-2</v>
      </c>
      <c r="F20" s="108">
        <v>3.9840904550209007E-2</v>
      </c>
    </row>
    <row r="21" spans="1:8" ht="15.75" customHeight="1" x14ac:dyDescent="0.25">
      <c r="B21" s="13" t="s">
        <v>88</v>
      </c>
      <c r="C21" s="108">
        <v>0.1228087926271406</v>
      </c>
      <c r="D21" s="108">
        <v>0.1228087926271406</v>
      </c>
      <c r="E21" s="108">
        <v>0.1228087926271406</v>
      </c>
      <c r="F21" s="108">
        <v>0.1228087926271406</v>
      </c>
    </row>
    <row r="22" spans="1:8" ht="15.75" customHeight="1" x14ac:dyDescent="0.25">
      <c r="B22" s="13" t="s">
        <v>89</v>
      </c>
      <c r="C22" s="108">
        <v>0.34177153561734053</v>
      </c>
      <c r="D22" s="108">
        <v>0.34177153561734053</v>
      </c>
      <c r="E22" s="108">
        <v>0.34177153561734053</v>
      </c>
      <c r="F22" s="108">
        <v>0.34177153561734053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4.7892169999999998E-2</v>
      </c>
    </row>
    <row r="27" spans="1:8" ht="15.75" customHeight="1" x14ac:dyDescent="0.25">
      <c r="B27" s="13" t="s">
        <v>92</v>
      </c>
      <c r="C27" s="108">
        <v>1.8253354999999999E-2</v>
      </c>
    </row>
    <row r="28" spans="1:8" ht="15.75" customHeight="1" x14ac:dyDescent="0.25">
      <c r="B28" s="13" t="s">
        <v>93</v>
      </c>
      <c r="C28" s="108">
        <v>0.22970390299999999</v>
      </c>
    </row>
    <row r="29" spans="1:8" ht="15.75" customHeight="1" x14ac:dyDescent="0.25">
      <c r="B29" s="13" t="s">
        <v>94</v>
      </c>
      <c r="C29" s="108">
        <v>0.13801279299999999</v>
      </c>
    </row>
    <row r="30" spans="1:8" ht="15.75" customHeight="1" x14ac:dyDescent="0.25">
      <c r="B30" s="13" t="s">
        <v>95</v>
      </c>
      <c r="C30" s="108">
        <v>4.9951097000000007E-2</v>
      </c>
    </row>
    <row r="31" spans="1:8" ht="15.75" customHeight="1" x14ac:dyDescent="0.25">
      <c r="B31" s="13" t="s">
        <v>96</v>
      </c>
      <c r="C31" s="108">
        <v>7.037699800000001E-2</v>
      </c>
    </row>
    <row r="32" spans="1:8" ht="15.75" customHeight="1" x14ac:dyDescent="0.25">
      <c r="B32" s="13" t="s">
        <v>97</v>
      </c>
      <c r="C32" s="108">
        <v>0.14732740899999999</v>
      </c>
    </row>
    <row r="33" spans="2:3" ht="15.75" customHeight="1" x14ac:dyDescent="0.25">
      <c r="B33" s="13" t="s">
        <v>98</v>
      </c>
      <c r="C33" s="108">
        <v>0.124050595</v>
      </c>
    </row>
    <row r="34" spans="2:3" ht="15.75" customHeight="1" x14ac:dyDescent="0.25">
      <c r="B34" s="13" t="s">
        <v>99</v>
      </c>
      <c r="C34" s="108">
        <v>0.17443167800000001</v>
      </c>
    </row>
    <row r="35" spans="2:3" ht="15.75" customHeight="1" x14ac:dyDescent="0.25">
      <c r="B35" s="18" t="s">
        <v>30</v>
      </c>
      <c r="C35" s="40">
        <f>SUM(C26:C34)</f>
        <v>0.99999999799999995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0.3974364470053906</v>
      </c>
      <c r="D2" s="109">
        <f>IFERROR(1-_xlfn.NORM.DIST(_xlfn.NORM.INV(SUM(D4:D5), 0, 1) + 1, 0, 1, TRUE), "")</f>
        <v>0.3974364470053906</v>
      </c>
      <c r="E2" s="109">
        <f>IFERROR(1-_xlfn.NORM.DIST(_xlfn.NORM.INV(SUM(E4:E5), 0, 1) + 1, 0, 1, TRUE), "")</f>
        <v>0.33862747930445936</v>
      </c>
      <c r="F2" s="109">
        <f>IFERROR(1-_xlfn.NORM.DIST(_xlfn.NORM.INV(SUM(F4:F5), 0, 1) + 1, 0, 1, TRUE), "")</f>
        <v>0.18630444255822787</v>
      </c>
      <c r="G2" s="109">
        <f>IFERROR(1-_xlfn.NORM.DIST(_xlfn.NORM.INV(SUM(G4:G5), 0, 1) + 1, 0, 1, TRUE), "")</f>
        <v>0.17082558439333795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0.37291714299460937</v>
      </c>
      <c r="D3" s="109">
        <f>IFERROR(_xlfn.NORM.DIST(_xlfn.NORM.INV(SUM(D4:D5), 0, 1) + 1, 0, 1, TRUE) - SUM(D4:D5), "")</f>
        <v>0.37291714299460937</v>
      </c>
      <c r="E3" s="109">
        <f>IFERROR(_xlfn.NORM.DIST(_xlfn.NORM.INV(SUM(E4:E5), 0, 1) + 1, 0, 1, TRUE) - SUM(E4:E5), "")</f>
        <v>0.38169108069554064</v>
      </c>
      <c r="F3" s="109">
        <f>IFERROR(_xlfn.NORM.DIST(_xlfn.NORM.INV(SUM(F4:F5), 0, 1) + 1, 0, 1, TRUE) - SUM(F4:F5), "")</f>
        <v>0.3568574774417721</v>
      </c>
      <c r="G3" s="109">
        <f>IFERROR(_xlfn.NORM.DIST(_xlfn.NORM.INV(SUM(G4:G5), 0, 1) + 1, 0, 1, TRUE) - SUM(G4:G5), "")</f>
        <v>0.34875149560666208</v>
      </c>
    </row>
    <row r="4" spans="1:15" ht="15.75" customHeight="1" x14ac:dyDescent="0.25">
      <c r="B4" s="7" t="s">
        <v>104</v>
      </c>
      <c r="C4" s="98">
        <v>0.10630116000000001</v>
      </c>
      <c r="D4" s="110">
        <v>0.10630116000000001</v>
      </c>
      <c r="E4" s="110">
        <v>0.10819668</v>
      </c>
      <c r="F4" s="110">
        <v>0.23807610000000001</v>
      </c>
      <c r="G4" s="110">
        <v>0.27204131999999998</v>
      </c>
    </row>
    <row r="5" spans="1:15" ht="15.75" customHeight="1" x14ac:dyDescent="0.25">
      <c r="B5" s="7" t="s">
        <v>105</v>
      </c>
      <c r="C5" s="98">
        <v>0.12334525</v>
      </c>
      <c r="D5" s="110">
        <v>0.12334525</v>
      </c>
      <c r="E5" s="110">
        <v>0.17148476000000001</v>
      </c>
      <c r="F5" s="110">
        <v>0.21876197999999999</v>
      </c>
      <c r="G5" s="110">
        <v>0.2083816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0.6253287757921604</v>
      </c>
      <c r="D8" s="109">
        <f>IFERROR(1-_xlfn.NORM.DIST(_xlfn.NORM.INV(SUM(D10:D11), 0, 1) + 1, 0, 1, TRUE), "")</f>
        <v>0.6253287757921604</v>
      </c>
      <c r="E8" s="109">
        <f>IFERROR(1-_xlfn.NORM.DIST(_xlfn.NORM.INV(SUM(E10:E11), 0, 1) + 1, 0, 1, TRUE), "")</f>
        <v>0.51006717455524131</v>
      </c>
      <c r="F8" s="109">
        <f>IFERROR(1-_xlfn.NORM.DIST(_xlfn.NORM.INV(SUM(F10:F11), 0, 1) + 1, 0, 1, TRUE), "")</f>
        <v>0.56944518004789813</v>
      </c>
      <c r="G8" s="109">
        <f>IFERROR(1-_xlfn.NORM.DIST(_xlfn.NORM.INV(SUM(G10:G11), 0, 1) + 1, 0, 1, TRUE), "")</f>
        <v>0.67033981866472847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0.28117130820783964</v>
      </c>
      <c r="D9" s="109">
        <f>IFERROR(_xlfn.NORM.DIST(_xlfn.NORM.INV(SUM(D10:D11), 0, 1) + 1, 0, 1, TRUE) - SUM(D10:D11), "")</f>
        <v>0.28117130820783964</v>
      </c>
      <c r="E9" s="109">
        <f>IFERROR(_xlfn.NORM.DIST(_xlfn.NORM.INV(SUM(E10:E11), 0, 1) + 1, 0, 1, TRUE) - SUM(E10:E11), "")</f>
        <v>0.33730721944475872</v>
      </c>
      <c r="F9" s="109">
        <f>IFERROR(_xlfn.NORM.DIST(_xlfn.NORM.INV(SUM(F10:F11), 0, 1) + 1, 0, 1, TRUE) - SUM(F10:F11), "")</f>
        <v>0.31054982295210193</v>
      </c>
      <c r="G9" s="109">
        <f>IFERROR(_xlfn.NORM.DIST(_xlfn.NORM.INV(SUM(G10:G11), 0, 1) + 1, 0, 1, TRUE) - SUM(G10:G11), "")</f>
        <v>0.25484688933527155</v>
      </c>
    </row>
    <row r="10" spans="1:15" ht="15.75" customHeight="1" x14ac:dyDescent="0.25">
      <c r="B10" s="7" t="s">
        <v>109</v>
      </c>
      <c r="C10" s="98">
        <v>7.2205738999999991E-2</v>
      </c>
      <c r="D10" s="110">
        <v>7.2205738999999991E-2</v>
      </c>
      <c r="E10" s="110">
        <v>0.10574055</v>
      </c>
      <c r="F10" s="110">
        <v>6.5383062000000006E-2</v>
      </c>
      <c r="G10" s="110">
        <v>4.4441494999999998E-2</v>
      </c>
    </row>
    <row r="11" spans="1:15" ht="15.75" customHeight="1" x14ac:dyDescent="0.25">
      <c r="B11" s="7" t="s">
        <v>110</v>
      </c>
      <c r="C11" s="98">
        <v>2.1294177000000001E-2</v>
      </c>
      <c r="D11" s="110">
        <v>2.1294177000000001E-2</v>
      </c>
      <c r="E11" s="110">
        <v>4.6885056000000001E-2</v>
      </c>
      <c r="F11" s="110">
        <v>5.4621935000000003E-2</v>
      </c>
      <c r="G11" s="110">
        <v>3.0371796999999999E-2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0.77228757749999999</v>
      </c>
      <c r="D14" s="112">
        <v>0.74513917951399999</v>
      </c>
      <c r="E14" s="112">
        <v>0.74513917951399999</v>
      </c>
      <c r="F14" s="112">
        <v>0.494011782678</v>
      </c>
      <c r="G14" s="112">
        <v>0.494011782678</v>
      </c>
      <c r="H14" s="98">
        <v>0.44800000000000001</v>
      </c>
      <c r="I14" s="113">
        <v>0.44800000000000001</v>
      </c>
      <c r="J14" s="113">
        <v>0.44800000000000001</v>
      </c>
      <c r="K14" s="113">
        <v>0.44800000000000001</v>
      </c>
      <c r="L14" s="98">
        <v>0.36</v>
      </c>
      <c r="M14" s="113">
        <v>0.36</v>
      </c>
      <c r="N14" s="113">
        <v>0.36</v>
      </c>
      <c r="O14" s="113">
        <v>0.36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0.39809416672423498</v>
      </c>
      <c r="D15" s="109">
        <f t="shared" si="0"/>
        <v>0.3840998734207996</v>
      </c>
      <c r="E15" s="109">
        <f t="shared" si="0"/>
        <v>0.3840998734207996</v>
      </c>
      <c r="F15" s="109">
        <f t="shared" si="0"/>
        <v>0.25465022966415934</v>
      </c>
      <c r="G15" s="109">
        <f t="shared" si="0"/>
        <v>0.25465022966415934</v>
      </c>
      <c r="H15" s="109">
        <f t="shared" si="0"/>
        <v>0.23093235200000001</v>
      </c>
      <c r="I15" s="109">
        <f t="shared" si="0"/>
        <v>0.23093235200000001</v>
      </c>
      <c r="J15" s="109">
        <f t="shared" si="0"/>
        <v>0.23093235200000001</v>
      </c>
      <c r="K15" s="109">
        <f t="shared" si="0"/>
        <v>0.23093235200000001</v>
      </c>
      <c r="L15" s="109">
        <f t="shared" si="0"/>
        <v>0.18557063999999998</v>
      </c>
      <c r="M15" s="109">
        <f t="shared" si="0"/>
        <v>0.18557063999999998</v>
      </c>
      <c r="N15" s="109">
        <f t="shared" si="0"/>
        <v>0.18557063999999998</v>
      </c>
      <c r="O15" s="109">
        <f t="shared" si="0"/>
        <v>0.18557063999999998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0.81596919999999995</v>
      </c>
      <c r="D2" s="110">
        <v>0.57684040000000003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3.2133630000000003E-2</v>
      </c>
      <c r="D3" s="110">
        <v>7.5453989999999999E-2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7.7461189999999999E-2</v>
      </c>
      <c r="D4" s="110">
        <v>0.2976355</v>
      </c>
      <c r="E4" s="110">
        <v>0</v>
      </c>
      <c r="F4" s="110">
        <v>0</v>
      </c>
      <c r="G4" s="110">
        <v>0</v>
      </c>
    </row>
    <row r="5" spans="1:7" x14ac:dyDescent="0.25">
      <c r="B5" s="80" t="s">
        <v>122</v>
      </c>
      <c r="C5" s="109">
        <v>7.443598000000011E-2</v>
      </c>
      <c r="D5" s="109">
        <v>5.0070110000000098E-2</v>
      </c>
      <c r="E5" s="109">
        <v>1</v>
      </c>
      <c r="F5" s="109">
        <v>1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2022-02-21T22:34:25Z</dcterms:modified>
</cp:coreProperties>
</file>