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5F1FF336-034A-479B-9D12-79D033F62EC7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12" i="2" s="1"/>
  <c r="A29" i="2" l="1"/>
  <c r="A33" i="2"/>
  <c r="A35" i="2"/>
  <c r="A39" i="2"/>
  <c r="A27" i="2"/>
  <c r="A31" i="2"/>
  <c r="A37" i="2"/>
  <c r="D58" i="20"/>
  <c r="A14" i="2"/>
  <c r="A16" i="2"/>
  <c r="A18" i="2"/>
  <c r="A20" i="2"/>
  <c r="A22" i="2"/>
  <c r="A24" i="2"/>
  <c r="A26" i="2"/>
  <c r="A28" i="2"/>
  <c r="A30" i="2"/>
  <c r="A32" i="2"/>
  <c r="A34" i="2"/>
  <c r="A36" i="2"/>
  <c r="A38" i="2"/>
  <c r="A40" i="2"/>
  <c r="A4" i="2"/>
  <c r="A5" i="2" s="1"/>
  <c r="A6" i="2" s="1"/>
  <c r="A7" i="2" s="1"/>
  <c r="A8" i="2" s="1"/>
  <c r="A9" i="2" s="1"/>
  <c r="A10" i="2" s="1"/>
  <c r="A1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<sst xmlns="http://schemas.openxmlformats.org/spreadsheetml/2006/main" count="2089" uniqueCount="342">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</sst>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341539.130859375</v>
      </c>
    </row>
    <row r="8" spans="1:3" ht="15" customHeight="1" x14ac:dyDescent="0.25">
      <c r="B8" s="7" t="s">
        <v>8</v>
      </c>
      <c r="C8" s="37">
        <v>1.4E-2</v>
      </c>
    </row>
    <row r="9" spans="1:3" ht="15" customHeight="1" x14ac:dyDescent="0.25">
      <c r="B9" s="7" t="s">
        <v>9</v>
      </c>
      <c r="C9" s="38">
        <v>0.01</v>
      </c>
    </row>
    <row r="10" spans="1:3" ht="15" customHeight="1" x14ac:dyDescent="0.25">
      <c r="B10" s="7" t="s">
        <v>10</v>
      </c>
      <c r="C10" s="38">
        <v>0.84452529907226603</v>
      </c>
    </row>
    <row r="11" spans="1:3" ht="15" customHeight="1" x14ac:dyDescent="0.25">
      <c r="B11" s="7" t="s">
        <v>11</v>
      </c>
      <c r="C11" s="37">
        <v>0.97599999999999998</v>
      </c>
    </row>
    <row r="12" spans="1:3" ht="15" customHeight="1" x14ac:dyDescent="0.25">
      <c r="B12" s="7" t="s">
        <v>12</v>
      </c>
      <c r="C12" s="37">
        <v>0.77200000000000002</v>
      </c>
    </row>
    <row r="13" spans="1:3" ht="15" customHeight="1" x14ac:dyDescent="0.25">
      <c r="B13" s="7" t="s">
        <v>13</v>
      </c>
      <c r="C13" s="37">
        <v>0.109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0.1542</v>
      </c>
    </row>
    <row r="24" spans="1:3" ht="15" customHeight="1" x14ac:dyDescent="0.25">
      <c r="B24" s="10" t="s">
        <v>22</v>
      </c>
      <c r="C24" s="38">
        <v>0.504</v>
      </c>
    </row>
    <row r="25" spans="1:3" ht="15" customHeight="1" x14ac:dyDescent="0.25">
      <c r="B25" s="10" t="s">
        <v>23</v>
      </c>
      <c r="C25" s="38">
        <v>0.31219999999999998</v>
      </c>
    </row>
    <row r="26" spans="1:3" ht="15" customHeight="1" x14ac:dyDescent="0.25">
      <c r="B26" s="10" t="s">
        <v>24</v>
      </c>
      <c r="C26" s="38">
        <v>2.9600000000000001E-2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0.35675533525383901</v>
      </c>
    </row>
    <row r="30" spans="1:3" ht="14.25" customHeight="1" x14ac:dyDescent="0.25">
      <c r="B30" s="16" t="s">
        <v>27</v>
      </c>
      <c r="C30" s="98">
        <v>6.5910586704521698E-2</v>
      </c>
    </row>
    <row r="31" spans="1:3" ht="14.25" customHeight="1" x14ac:dyDescent="0.25">
      <c r="B31" s="16" t="s">
        <v>28</v>
      </c>
      <c r="C31" s="98">
        <v>9.262041217609189E-2</v>
      </c>
    </row>
    <row r="32" spans="1:3" ht="14.25" customHeight="1" x14ac:dyDescent="0.25">
      <c r="B32" s="16" t="s">
        <v>29</v>
      </c>
      <c r="C32" s="98">
        <v>0.48471366586554798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6.1573833137445604</v>
      </c>
    </row>
    <row r="38" spans="1:5" ht="15" customHeight="1" x14ac:dyDescent="0.25">
      <c r="B38" s="22" t="s">
        <v>34</v>
      </c>
      <c r="C38" s="36">
        <v>7.5435707882581999</v>
      </c>
      <c r="D38" s="107"/>
      <c r="E38" s="108"/>
    </row>
    <row r="39" spans="1:5" ht="15" customHeight="1" x14ac:dyDescent="0.25">
      <c r="B39" s="22" t="s">
        <v>35</v>
      </c>
      <c r="C39" s="36">
        <v>8.6192212346124695</v>
      </c>
      <c r="D39" s="107"/>
      <c r="E39" s="107"/>
    </row>
    <row r="40" spans="1:5" ht="15" customHeight="1" x14ac:dyDescent="0.25">
      <c r="B40" s="22" t="s">
        <v>36</v>
      </c>
      <c r="C40" s="109">
        <v>0.27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4.4836800459999999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2.8462600000000001E-2</v>
      </c>
      <c r="D45" s="107"/>
    </row>
    <row r="46" spans="1:5" ht="15.75" customHeight="1" x14ac:dyDescent="0.25">
      <c r="B46" s="22" t="s">
        <v>41</v>
      </c>
      <c r="C46" s="38">
        <v>0.107963</v>
      </c>
      <c r="D46" s="107"/>
    </row>
    <row r="47" spans="1:5" ht="15.75" customHeight="1" x14ac:dyDescent="0.25">
      <c r="B47" s="22" t="s">
        <v>42</v>
      </c>
      <c r="C47" s="38">
        <v>8.4610800000000014E-2</v>
      </c>
      <c r="D47" s="107"/>
      <c r="E47" s="108"/>
    </row>
    <row r="48" spans="1:5" ht="15" customHeight="1" x14ac:dyDescent="0.25">
      <c r="B48" s="22" t="s">
        <v>43</v>
      </c>
      <c r="C48" s="39">
        <v>0.77896359999999998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3.2</v>
      </c>
      <c r="D51" s="107"/>
    </row>
    <row r="52" spans="1:4" ht="15" customHeight="1" x14ac:dyDescent="0.25">
      <c r="B52" s="22" t="s">
        <v>46</v>
      </c>
      <c r="C52" s="41">
        <v>3.2</v>
      </c>
    </row>
    <row r="53" spans="1:4" ht="15.75" customHeight="1" x14ac:dyDescent="0.25">
      <c r="B53" s="22" t="s">
        <v>47</v>
      </c>
      <c r="C53" s="41">
        <v>3.2</v>
      </c>
    </row>
    <row r="54" spans="1:4" ht="15.75" customHeight="1" x14ac:dyDescent="0.25">
      <c r="B54" s="22" t="s">
        <v>48</v>
      </c>
      <c r="C54" s="41">
        <v>3.2</v>
      </c>
    </row>
    <row r="55" spans="1:4" ht="15.75" customHeight="1" x14ac:dyDescent="0.25">
      <c r="B55" s="22" t="s">
        <v>49</v>
      </c>
      <c r="C55" s="41">
        <v>3.2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1.9375E-2</v>
      </c>
    </row>
    <row r="59" spans="1:4" ht="15.75" customHeight="1" x14ac:dyDescent="0.25">
      <c r="B59" s="22" t="s">
        <v>52</v>
      </c>
      <c r="C59" s="37">
        <v>0.54813400000000001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7.4772848999999905E-2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0.72950398449153897</v>
      </c>
      <c r="C2" s="95">
        <v>0.95</v>
      </c>
      <c r="D2" s="96">
        <v>107.0201908947332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40.978199545296739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1182.463810200042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1.727104628102593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0.226056495092468</v>
      </c>
      <c r="C10" s="95">
        <v>0.95</v>
      </c>
      <c r="D10" s="96">
        <v>14.11049898909264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0.226056495092468</v>
      </c>
      <c r="C11" s="95">
        <v>0.95</v>
      </c>
      <c r="D11" s="96">
        <v>14.11049898909264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0.226056495092468</v>
      </c>
      <c r="C12" s="95">
        <v>0.95</v>
      </c>
      <c r="D12" s="96">
        <v>14.11049898909264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0.226056495092468</v>
      </c>
      <c r="C13" s="95">
        <v>0.95</v>
      </c>
      <c r="D13" s="96">
        <v>14.11049898909264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0.226056495092468</v>
      </c>
      <c r="C14" s="95">
        <v>0.95</v>
      </c>
      <c r="D14" s="96">
        <v>14.11049898909264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0.226056495092468</v>
      </c>
      <c r="C15" s="95">
        <v>0.95</v>
      </c>
      <c r="D15" s="96">
        <v>14.11049898909264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1.817264788987992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</v>
      </c>
      <c r="C18" s="95">
        <v>0.95</v>
      </c>
      <c r="D18" s="96">
        <v>27.02885669161574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27.02885669161574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0.97804367069999998</v>
      </c>
      <c r="C21" s="95">
        <v>0.95</v>
      </c>
      <c r="D21" s="96">
        <v>17.591217247758362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24.926085555919201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4.9657873780366408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0.247228901035875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0.17630994604042</v>
      </c>
      <c r="C27" s="95">
        <v>0.95</v>
      </c>
      <c r="D27" s="96">
        <v>19.66637718058168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0.97818360252186098</v>
      </c>
      <c r="C29" s="95">
        <v>0.95</v>
      </c>
      <c r="D29" s="96">
        <v>225.46212730893359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0.86388676042059953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3.2008066180000003E-2</v>
      </c>
      <c r="C32" s="95">
        <v>0.95</v>
      </c>
      <c r="D32" s="96">
        <v>4.0149037192341366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0.20890825269999999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0</v>
      </c>
      <c r="C38" s="95">
        <v>0.95</v>
      </c>
      <c r="D38" s="96">
        <v>6.1634669588090496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0.99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3.2</v>
      </c>
      <c r="C2" s="121">
        <f>'Entradas de población-año base'!C52</f>
        <v>3.2</v>
      </c>
      <c r="D2" s="121">
        <f>'Entradas de población-año base'!C53</f>
        <v>3.2</v>
      </c>
      <c r="E2" s="121">
        <f>'Entradas de población-año base'!C54</f>
        <v>3.2</v>
      </c>
      <c r="F2" s="121">
        <f>'Entradas de población-año base'!C55</f>
        <v>3.2</v>
      </c>
    </row>
    <row r="3" spans="1:6" ht="15.75" customHeight="1" x14ac:dyDescent="0.25">
      <c r="A3" s="4" t="s">
        <v>204</v>
      </c>
      <c r="B3" s="121">
        <f>frac_mam_1month * 2.6</f>
        <v>3.9589771000000003E-2</v>
      </c>
      <c r="C3" s="121">
        <f>frac_mam_1_5months * 2.6</f>
        <v>3.9589771000000003E-2</v>
      </c>
      <c r="D3" s="121">
        <f>frac_mam_6_11months * 2.6</f>
        <v>1.107064348E-2</v>
      </c>
      <c r="E3" s="121">
        <f>frac_mam_12_23months * 2.6</f>
        <v>4.9481507399999999E-2</v>
      </c>
      <c r="F3" s="121">
        <f>frac_mam_24_59months * 2.6</f>
        <v>4.7725904200000009E-2</v>
      </c>
    </row>
    <row r="4" spans="1:6" ht="15.75" customHeight="1" x14ac:dyDescent="0.25">
      <c r="A4" s="4" t="s">
        <v>205</v>
      </c>
      <c r="B4" s="121">
        <f>frac_sam_1month * 2.6</f>
        <v>4.7193848000000004E-3</v>
      </c>
      <c r="C4" s="121">
        <f>frac_sam_1_5months * 2.6</f>
        <v>4.7193848000000004E-3</v>
      </c>
      <c r="D4" s="121">
        <f>frac_sam_6_11months * 2.6</f>
        <v>0</v>
      </c>
      <c r="E4" s="121">
        <f>frac_sam_12_23months * 2.6</f>
        <v>1.139856432E-2</v>
      </c>
      <c r="F4" s="121">
        <f>frac_sam_24_59months * 2.6</f>
        <v>1.3172276780000001E-3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1.4E-2</v>
      </c>
      <c r="E2" s="50">
        <f>food_insecure</f>
        <v>1.4E-2</v>
      </c>
      <c r="F2" s="50">
        <f>food_insecure</f>
        <v>1.4E-2</v>
      </c>
      <c r="G2" s="50">
        <f>food_insecure</f>
        <v>1.4E-2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1.4E-2</v>
      </c>
      <c r="F5" s="50">
        <f>food_insecure</f>
        <v>1.4E-2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6.2E-2</v>
      </c>
      <c r="D7" s="50">
        <f>diarrhoea_1_5mo*frac_diarrhea_severe</f>
        <v>6.2E-2</v>
      </c>
      <c r="E7" s="50">
        <f>diarrhoea_6_11mo*frac_diarrhea_severe</f>
        <v>6.2E-2</v>
      </c>
      <c r="F7" s="50">
        <f>diarrhoea_12_23mo*frac_diarrhea_severe</f>
        <v>6.2E-2</v>
      </c>
      <c r="G7" s="50">
        <f>diarrhoea_24_59mo*frac_diarrhea_severe</f>
        <v>6.2E-2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1.4E-2</v>
      </c>
      <c r="F8" s="50">
        <f>food_insecure</f>
        <v>1.4E-2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1.4E-2</v>
      </c>
      <c r="F9" s="50">
        <f>food_insecure</f>
        <v>1.4E-2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0.77200000000000002</v>
      </c>
      <c r="E10" s="50">
        <f>IF(ISBLANK(comm_deliv), frac_children_health_facility,1)</f>
        <v>0.77200000000000002</v>
      </c>
      <c r="F10" s="50">
        <f>IF(ISBLANK(comm_deliv), frac_children_health_facility,1)</f>
        <v>0.77200000000000002</v>
      </c>
      <c r="G10" s="50">
        <f>IF(ISBLANK(comm_deliv), frac_children_health_facility,1)</f>
        <v>0.77200000000000002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6.2E-2</v>
      </c>
      <c r="D12" s="50">
        <f>diarrhoea_1_5mo*frac_diarrhea_severe</f>
        <v>6.2E-2</v>
      </c>
      <c r="E12" s="50">
        <f>diarrhoea_6_11mo*frac_diarrhea_severe</f>
        <v>6.2E-2</v>
      </c>
      <c r="F12" s="50">
        <f>diarrhoea_12_23mo*frac_diarrhea_severe</f>
        <v>6.2E-2</v>
      </c>
      <c r="G12" s="50">
        <f>diarrhoea_24_59mo*frac_diarrhea_severe</f>
        <v>6.2E-2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1.4E-2</v>
      </c>
      <c r="I15" s="50">
        <f>food_insecure</f>
        <v>1.4E-2</v>
      </c>
      <c r="J15" s="50">
        <f>food_insecure</f>
        <v>1.4E-2</v>
      </c>
      <c r="K15" s="50">
        <f>food_insecure</f>
        <v>1.4E-2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0.97599999999999998</v>
      </c>
      <c r="I18" s="50">
        <f>frac_PW_health_facility</f>
        <v>0.97599999999999998</v>
      </c>
      <c r="J18" s="50">
        <f>frac_PW_health_facility</f>
        <v>0.97599999999999998</v>
      </c>
      <c r="K18" s="50">
        <f>frac_PW_health_facility</f>
        <v>0.97599999999999998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0.01</v>
      </c>
      <c r="I19" s="50">
        <f>frac_malaria_risk</f>
        <v>0.01</v>
      </c>
      <c r="J19" s="50">
        <f>frac_malaria_risk</f>
        <v>0.01</v>
      </c>
      <c r="K19" s="50">
        <f>frac_malaria_risk</f>
        <v>0.01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0.109</v>
      </c>
      <c r="M24" s="50">
        <f>famplan_unmet_need</f>
        <v>0.109</v>
      </c>
      <c r="N24" s="50">
        <f>famplan_unmet_need</f>
        <v>0.109</v>
      </c>
      <c r="O24" s="50">
        <f>famplan_unmet_need</f>
        <v>0.109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7.6639699075317175E-2</v>
      </c>
      <c r="M25" s="50">
        <f>(1-food_insecure)*(0.49)+food_insecure*(0.7)</f>
        <v>0.49293999999999993</v>
      </c>
      <c r="N25" s="50">
        <f>(1-food_insecure)*(0.49)+food_insecure*(0.7)</f>
        <v>0.49293999999999993</v>
      </c>
      <c r="O25" s="50">
        <f>(1-food_insecure)*(0.49)+food_insecure*(0.7)</f>
        <v>0.49293999999999993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3.284558531799308E-2</v>
      </c>
      <c r="M26" s="50">
        <f>(1-food_insecure)*(0.21)+food_insecure*(0.3)</f>
        <v>0.21126</v>
      </c>
      <c r="N26" s="50">
        <f>(1-food_insecure)*(0.21)+food_insecure*(0.3)</f>
        <v>0.21126</v>
      </c>
      <c r="O26" s="50">
        <f>(1-food_insecure)*(0.21)+food_insecure*(0.3)</f>
        <v>0.21126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4.5989416534423712E-2</v>
      </c>
      <c r="M27" s="50">
        <f>(1-food_insecure)*(0.3)</f>
        <v>0.29580000000000001</v>
      </c>
      <c r="N27" s="50">
        <f>(1-food_insecure)*(0.3)</f>
        <v>0.29580000000000001</v>
      </c>
      <c r="O27" s="50">
        <f>(1-food_insecure)*(0.3)</f>
        <v>0.29580000000000001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0.84452529907226603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0.01</v>
      </c>
      <c r="D34" s="50">
        <f t="shared" si="3"/>
        <v>0.01</v>
      </c>
      <c r="E34" s="50">
        <f t="shared" si="3"/>
        <v>0.01</v>
      </c>
      <c r="F34" s="50">
        <f t="shared" si="3"/>
        <v>0.01</v>
      </c>
      <c r="G34" s="50">
        <f t="shared" si="3"/>
        <v>0.01</v>
      </c>
      <c r="H34" s="50">
        <f t="shared" si="3"/>
        <v>0.01</v>
      </c>
      <c r="I34" s="50">
        <f t="shared" si="3"/>
        <v>0.01</v>
      </c>
      <c r="J34" s="50">
        <f t="shared" si="3"/>
        <v>0.01</v>
      </c>
      <c r="K34" s="50">
        <f t="shared" si="3"/>
        <v>0.01</v>
      </c>
      <c r="L34" s="50">
        <f t="shared" si="3"/>
        <v>0.01</v>
      </c>
      <c r="M34" s="50">
        <f t="shared" si="3"/>
        <v>0.01</v>
      </c>
      <c r="N34" s="50">
        <f t="shared" si="3"/>
        <v>0.01</v>
      </c>
      <c r="O34" s="50">
        <f t="shared" si="3"/>
        <v>0.01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66865.478399999993</v>
      </c>
      <c r="C2" s="110">
        <v>176000</v>
      </c>
      <c r="D2" s="110">
        <v>394000</v>
      </c>
      <c r="E2" s="110">
        <v>402000</v>
      </c>
      <c r="F2" s="110">
        <v>332000</v>
      </c>
      <c r="G2" s="111">
        <f t="shared" ref="G2:G16" si="0">C2+D2+E2+F2</f>
        <v>1304000</v>
      </c>
      <c r="H2" s="111">
        <f t="shared" ref="H2:H40" si="1">(B2 + stillbirth*B2/(1000-stillbirth))/(1-abortion)</f>
        <v>76325.718281875234</v>
      </c>
      <c r="I2" s="111">
        <f t="shared" ref="I2:I40" si="2">G2-H2</f>
        <v>1227674.2817181249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66313.457999999999</v>
      </c>
      <c r="C3" s="110">
        <v>176000</v>
      </c>
      <c r="D3" s="110">
        <v>389000</v>
      </c>
      <c r="E3" s="110">
        <v>405000</v>
      </c>
      <c r="F3" s="110">
        <v>340000</v>
      </c>
      <c r="G3" s="111">
        <f t="shared" si="0"/>
        <v>1310000</v>
      </c>
      <c r="H3" s="111">
        <f t="shared" si="1"/>
        <v>75695.597111064213</v>
      </c>
      <c r="I3" s="111">
        <f t="shared" si="2"/>
        <v>1234304.4028889358</v>
      </c>
    </row>
    <row r="4" spans="1:9" ht="15.75" customHeight="1" x14ac:dyDescent="0.25">
      <c r="A4" s="7">
        <f t="shared" si="3"/>
        <v>2023</v>
      </c>
      <c r="B4" s="42">
        <v>65717.938000000009</v>
      </c>
      <c r="C4" s="110">
        <v>177000</v>
      </c>
      <c r="D4" s="110">
        <v>384000</v>
      </c>
      <c r="E4" s="110">
        <v>407000</v>
      </c>
      <c r="F4" s="110">
        <v>349000</v>
      </c>
      <c r="G4" s="111">
        <f t="shared" si="0"/>
        <v>1317000</v>
      </c>
      <c r="H4" s="111">
        <f t="shared" si="1"/>
        <v>75015.821943984542</v>
      </c>
      <c r="I4" s="111">
        <f t="shared" si="2"/>
        <v>1241984.1780560154</v>
      </c>
    </row>
    <row r="5" spans="1:9" ht="15.75" customHeight="1" x14ac:dyDescent="0.25">
      <c r="A5" s="7">
        <f t="shared" si="3"/>
        <v>2024</v>
      </c>
      <c r="B5" s="42">
        <v>65092.705800000011</v>
      </c>
      <c r="C5" s="110">
        <v>177000</v>
      </c>
      <c r="D5" s="110">
        <v>378000</v>
      </c>
      <c r="E5" s="110">
        <v>409000</v>
      </c>
      <c r="F5" s="110">
        <v>357000</v>
      </c>
      <c r="G5" s="111">
        <f t="shared" si="0"/>
        <v>1321000</v>
      </c>
      <c r="H5" s="111">
        <f t="shared" si="1"/>
        <v>74302.130845081745</v>
      </c>
      <c r="I5" s="111">
        <f t="shared" si="2"/>
        <v>1246697.8691549182</v>
      </c>
    </row>
    <row r="6" spans="1:9" ht="15.75" customHeight="1" x14ac:dyDescent="0.25">
      <c r="A6" s="7">
        <f t="shared" si="3"/>
        <v>2025</v>
      </c>
      <c r="B6" s="42">
        <v>64438.406999999999</v>
      </c>
      <c r="C6" s="110">
        <v>177000</v>
      </c>
      <c r="D6" s="110">
        <v>374000</v>
      </c>
      <c r="E6" s="110">
        <v>409000</v>
      </c>
      <c r="F6" s="110">
        <v>365000</v>
      </c>
      <c r="G6" s="111">
        <f t="shared" si="0"/>
        <v>1325000</v>
      </c>
      <c r="H6" s="111">
        <f t="shared" si="1"/>
        <v>73555.260754925184</v>
      </c>
      <c r="I6" s="111">
        <f t="shared" si="2"/>
        <v>1251444.7392450748</v>
      </c>
    </row>
    <row r="7" spans="1:9" ht="15.75" customHeight="1" x14ac:dyDescent="0.25">
      <c r="A7" s="7">
        <f t="shared" si="3"/>
        <v>2026</v>
      </c>
      <c r="B7" s="42">
        <v>63988.183199999999</v>
      </c>
      <c r="C7" s="110">
        <v>177000</v>
      </c>
      <c r="D7" s="110">
        <v>370000</v>
      </c>
      <c r="E7" s="110">
        <v>409000</v>
      </c>
      <c r="F7" s="110">
        <v>373000</v>
      </c>
      <c r="G7" s="111">
        <f t="shared" si="0"/>
        <v>1329000</v>
      </c>
      <c r="H7" s="111">
        <f t="shared" si="1"/>
        <v>73041.338537588657</v>
      </c>
      <c r="I7" s="111">
        <f t="shared" si="2"/>
        <v>1255958.6614624113</v>
      </c>
    </row>
    <row r="8" spans="1:9" ht="15.75" customHeight="1" x14ac:dyDescent="0.25">
      <c r="A8" s="7">
        <f t="shared" si="3"/>
        <v>2027</v>
      </c>
      <c r="B8" s="42">
        <v>63501.413399999998</v>
      </c>
      <c r="C8" s="110">
        <v>176000</v>
      </c>
      <c r="D8" s="110">
        <v>366000</v>
      </c>
      <c r="E8" s="110">
        <v>408000</v>
      </c>
      <c r="F8" s="110">
        <v>380000</v>
      </c>
      <c r="G8" s="111">
        <f t="shared" si="0"/>
        <v>1330000</v>
      </c>
      <c r="H8" s="111">
        <f t="shared" si="1"/>
        <v>72485.699730958586</v>
      </c>
      <c r="I8" s="111">
        <f t="shared" si="2"/>
        <v>1257514.3002690414</v>
      </c>
    </row>
    <row r="9" spans="1:9" ht="15.75" customHeight="1" x14ac:dyDescent="0.25">
      <c r="A9" s="7">
        <f t="shared" si="3"/>
        <v>2028</v>
      </c>
      <c r="B9" s="42">
        <v>62990.892199999987</v>
      </c>
      <c r="C9" s="110">
        <v>174000</v>
      </c>
      <c r="D9" s="110">
        <v>362000</v>
      </c>
      <c r="E9" s="110">
        <v>406000</v>
      </c>
      <c r="F9" s="110">
        <v>387000</v>
      </c>
      <c r="G9" s="111">
        <f t="shared" si="0"/>
        <v>1329000</v>
      </c>
      <c r="H9" s="111">
        <f t="shared" si="1"/>
        <v>71902.949136473559</v>
      </c>
      <c r="I9" s="111">
        <f t="shared" si="2"/>
        <v>1257097.0508635265</v>
      </c>
    </row>
    <row r="10" spans="1:9" ht="15.75" customHeight="1" x14ac:dyDescent="0.25">
      <c r="A10" s="7">
        <f t="shared" si="3"/>
        <v>2029</v>
      </c>
      <c r="B10" s="42">
        <v>62457.133199999989</v>
      </c>
      <c r="C10" s="110">
        <v>173000</v>
      </c>
      <c r="D10" s="110">
        <v>359000</v>
      </c>
      <c r="E10" s="110">
        <v>404000</v>
      </c>
      <c r="F10" s="110">
        <v>392000</v>
      </c>
      <c r="G10" s="111">
        <f t="shared" si="0"/>
        <v>1328000</v>
      </c>
      <c r="H10" s="111">
        <f t="shared" si="1"/>
        <v>71293.673019121867</v>
      </c>
      <c r="I10" s="111">
        <f t="shared" si="2"/>
        <v>1256706.3269808781</v>
      </c>
    </row>
    <row r="11" spans="1:9" ht="15.75" customHeight="1" x14ac:dyDescent="0.25">
      <c r="A11" s="7">
        <f t="shared" si="3"/>
        <v>2030</v>
      </c>
      <c r="B11" s="42">
        <v>61889.225000000013</v>
      </c>
      <c r="C11" s="110">
        <v>172000</v>
      </c>
      <c r="D11" s="110">
        <v>356000</v>
      </c>
      <c r="E11" s="110">
        <v>400000</v>
      </c>
      <c r="F11" s="110">
        <v>397000</v>
      </c>
      <c r="G11" s="111">
        <f t="shared" si="0"/>
        <v>1325000</v>
      </c>
      <c r="H11" s="111">
        <f t="shared" si="1"/>
        <v>70645.416215755235</v>
      </c>
      <c r="I11" s="111">
        <f t="shared" si="2"/>
        <v>1254354.5837842447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0</v>
      </c>
    </row>
    <row r="4" spans="1:8" ht="15.75" customHeight="1" x14ac:dyDescent="0.25">
      <c r="B4" s="13" t="s">
        <v>69</v>
      </c>
      <c r="C4" s="43">
        <v>2.236840100862876E-2</v>
      </c>
    </row>
    <row r="5" spans="1:8" ht="15.75" customHeight="1" x14ac:dyDescent="0.25">
      <c r="B5" s="13" t="s">
        <v>70</v>
      </c>
      <c r="C5" s="43">
        <v>2.7828901869366401E-2</v>
      </c>
    </row>
    <row r="6" spans="1:8" ht="15.75" customHeight="1" x14ac:dyDescent="0.25">
      <c r="B6" s="13" t="s">
        <v>71</v>
      </c>
      <c r="C6" s="43">
        <v>0.10535892521549731</v>
      </c>
    </row>
    <row r="7" spans="1:8" ht="15.75" customHeight="1" x14ac:dyDescent="0.25">
      <c r="B7" s="13" t="s">
        <v>72</v>
      </c>
      <c r="C7" s="43">
        <v>0.40982172882225898</v>
      </c>
    </row>
    <row r="8" spans="1:8" ht="15.75" customHeight="1" x14ac:dyDescent="0.25">
      <c r="B8" s="13" t="s">
        <v>73</v>
      </c>
      <c r="C8" s="43">
        <v>0</v>
      </c>
    </row>
    <row r="9" spans="1:8" ht="15.75" customHeight="1" x14ac:dyDescent="0.25">
      <c r="B9" s="13" t="s">
        <v>74</v>
      </c>
      <c r="C9" s="43">
        <v>0.39392497298393803</v>
      </c>
    </row>
    <row r="10" spans="1:8" ht="15.75" customHeight="1" x14ac:dyDescent="0.25">
      <c r="B10" s="13" t="s">
        <v>75</v>
      </c>
      <c r="C10" s="43">
        <v>4.0697070100310678E-2</v>
      </c>
    </row>
    <row r="11" spans="1:8" ht="15.75" customHeight="1" x14ac:dyDescent="0.25">
      <c r="B11" s="18" t="s">
        <v>30</v>
      </c>
      <c r="C11" s="40">
        <f>SUM(C3:C10)</f>
        <v>1.0000000000000002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3.0213160487802461E-2</v>
      </c>
      <c r="D14" s="43">
        <v>3.0213160487802461E-2</v>
      </c>
      <c r="E14" s="43">
        <v>3.0213160487802461E-2</v>
      </c>
      <c r="F14" s="43">
        <v>3.0213160487802461E-2</v>
      </c>
    </row>
    <row r="15" spans="1:8" ht="15.75" customHeight="1" x14ac:dyDescent="0.25">
      <c r="B15" s="13" t="s">
        <v>82</v>
      </c>
      <c r="C15" s="43">
        <v>7.5115703522138463E-2</v>
      </c>
      <c r="D15" s="43">
        <v>7.5115703522138463E-2</v>
      </c>
      <c r="E15" s="43">
        <v>7.5115703522138463E-2</v>
      </c>
      <c r="F15" s="43">
        <v>7.5115703522138463E-2</v>
      </c>
    </row>
    <row r="16" spans="1:8" ht="15.75" customHeight="1" x14ac:dyDescent="0.25">
      <c r="B16" s="13" t="s">
        <v>83</v>
      </c>
      <c r="C16" s="43">
        <v>2.04437907993061E-2</v>
      </c>
      <c r="D16" s="43">
        <v>2.04437907993061E-2</v>
      </c>
      <c r="E16" s="43">
        <v>2.04437907993061E-2</v>
      </c>
      <c r="F16" s="43">
        <v>2.04437907993061E-2</v>
      </c>
    </row>
    <row r="17" spans="1:8" ht="15.75" customHeight="1" x14ac:dyDescent="0.25">
      <c r="B17" s="13" t="s">
        <v>84</v>
      </c>
      <c r="C17" s="43">
        <v>0</v>
      </c>
      <c r="D17" s="43">
        <v>0</v>
      </c>
      <c r="E17" s="43">
        <v>0</v>
      </c>
      <c r="F17" s="43">
        <v>0</v>
      </c>
    </row>
    <row r="18" spans="1:8" ht="15.75" customHeight="1" x14ac:dyDescent="0.25">
      <c r="B18" s="13" t="s">
        <v>85</v>
      </c>
      <c r="C18" s="43">
        <v>0</v>
      </c>
      <c r="D18" s="43">
        <v>0</v>
      </c>
      <c r="E18" s="43">
        <v>0</v>
      </c>
      <c r="F18" s="43">
        <v>0</v>
      </c>
    </row>
    <row r="19" spans="1:8" ht="15.75" customHeight="1" x14ac:dyDescent="0.25">
      <c r="B19" s="13" t="s">
        <v>86</v>
      </c>
      <c r="C19" s="43">
        <v>2.164678743156608E-3</v>
      </c>
      <c r="D19" s="43">
        <v>2.164678743156608E-3</v>
      </c>
      <c r="E19" s="43">
        <v>2.164678743156608E-3</v>
      </c>
      <c r="F19" s="43">
        <v>2.164678743156608E-3</v>
      </c>
    </row>
    <row r="20" spans="1:8" ht="15.75" customHeight="1" x14ac:dyDescent="0.25">
      <c r="B20" s="13" t="s">
        <v>87</v>
      </c>
      <c r="C20" s="43">
        <v>0.1463535780500522</v>
      </c>
      <c r="D20" s="43">
        <v>0.1463535780500522</v>
      </c>
      <c r="E20" s="43">
        <v>0.1463535780500522</v>
      </c>
      <c r="F20" s="43">
        <v>0.1463535780500522</v>
      </c>
    </row>
    <row r="21" spans="1:8" ht="15.75" customHeight="1" x14ac:dyDescent="0.25">
      <c r="B21" s="13" t="s">
        <v>88</v>
      </c>
      <c r="C21" s="43">
        <v>9.6417402236320976E-2</v>
      </c>
      <c r="D21" s="43">
        <v>9.6417402236320976E-2</v>
      </c>
      <c r="E21" s="43">
        <v>9.6417402236320976E-2</v>
      </c>
      <c r="F21" s="43">
        <v>9.6417402236320976E-2</v>
      </c>
    </row>
    <row r="22" spans="1:8" ht="15.75" customHeight="1" x14ac:dyDescent="0.25">
      <c r="B22" s="13" t="s">
        <v>89</v>
      </c>
      <c r="C22" s="43">
        <v>0.62929168616122333</v>
      </c>
      <c r="D22" s="43">
        <v>0.62929168616122333</v>
      </c>
      <c r="E22" s="43">
        <v>0.62929168616122333</v>
      </c>
      <c r="F22" s="43">
        <v>0.62929168616122333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4.3847376999999993E-2</v>
      </c>
    </row>
    <row r="27" spans="1:8" ht="15.75" customHeight="1" x14ac:dyDescent="0.25">
      <c r="B27" s="13" t="s">
        <v>92</v>
      </c>
      <c r="C27" s="43">
        <v>3.4044087000000001E-2</v>
      </c>
    </row>
    <row r="28" spans="1:8" ht="15.75" customHeight="1" x14ac:dyDescent="0.25">
      <c r="B28" s="13" t="s">
        <v>93</v>
      </c>
      <c r="C28" s="43">
        <v>4.3283602999999997E-2</v>
      </c>
    </row>
    <row r="29" spans="1:8" ht="15.75" customHeight="1" x14ac:dyDescent="0.25">
      <c r="B29" s="13" t="s">
        <v>94</v>
      </c>
      <c r="C29" s="43">
        <v>0.177569167</v>
      </c>
    </row>
    <row r="30" spans="1:8" ht="15.75" customHeight="1" x14ac:dyDescent="0.25">
      <c r="B30" s="13" t="s">
        <v>95</v>
      </c>
      <c r="C30" s="43">
        <v>3.1893660999999997E-2</v>
      </c>
    </row>
    <row r="31" spans="1:8" ht="15.75" customHeight="1" x14ac:dyDescent="0.25">
      <c r="B31" s="13" t="s">
        <v>96</v>
      </c>
      <c r="C31" s="43">
        <v>9.3503550000000005E-2</v>
      </c>
    </row>
    <row r="32" spans="1:8" ht="15.75" customHeight="1" x14ac:dyDescent="0.25">
      <c r="B32" s="13" t="s">
        <v>97</v>
      </c>
      <c r="C32" s="43">
        <v>7.8392814000000005E-2</v>
      </c>
    </row>
    <row r="33" spans="2:3" ht="15.75" customHeight="1" x14ac:dyDescent="0.25">
      <c r="B33" s="13" t="s">
        <v>98</v>
      </c>
      <c r="C33" s="43">
        <v>0.15751110600000001</v>
      </c>
    </row>
    <row r="34" spans="2:3" ht="15.75" customHeight="1" x14ac:dyDescent="0.25">
      <c r="B34" s="13" t="s">
        <v>99</v>
      </c>
      <c r="C34" s="43">
        <v>0.33995463500000001</v>
      </c>
    </row>
    <row r="35" spans="2:3" ht="15.75" customHeight="1" x14ac:dyDescent="0.25">
      <c r="B35" s="18" t="s">
        <v>30</v>
      </c>
      <c r="C35" s="40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0.93833866148798106</v>
      </c>
      <c r="D2" s="112">
        <f>IFERROR(1-_xlfn.NORM.DIST(_xlfn.NORM.INV(SUM(D4:D5), 0, 1) + 1, 0, 1, TRUE), "")</f>
        <v>0.93833866148798106</v>
      </c>
      <c r="E2" s="112">
        <f>IFERROR(1-_xlfn.NORM.DIST(_xlfn.NORM.INV(SUM(E4:E5), 0, 1) + 1, 0, 1, TRUE), "")</f>
        <v>0.97657259788527084</v>
      </c>
      <c r="F2" s="112">
        <f>IFERROR(1-_xlfn.NORM.DIST(_xlfn.NORM.INV(SUM(F4:F5), 0, 1) + 1, 0, 1, TRUE), "")</f>
        <v>0.76771322469849701</v>
      </c>
      <c r="G2" s="112">
        <f>IFERROR(1-_xlfn.NORM.DIST(_xlfn.NORM.INV(SUM(G4:G5), 0, 1) + 1, 0, 1, TRUE), "")</f>
        <v>0.76772724821307881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5.6134159912018915E-2</v>
      </c>
      <c r="D3" s="112">
        <f>IFERROR(_xlfn.NORM.DIST(_xlfn.NORM.INV(SUM(D4:D5), 0, 1) + 1, 0, 1, TRUE) - SUM(D4:D5), "")</f>
        <v>5.6134159912018915E-2</v>
      </c>
      <c r="E3" s="112">
        <f>IFERROR(_xlfn.NORM.DIST(_xlfn.NORM.INV(SUM(E4:E5), 0, 1) + 1, 0, 1, TRUE) - SUM(E4:E5), "")</f>
        <v>2.2021563114729165E-2</v>
      </c>
      <c r="F3" s="112">
        <f>IFERROR(_xlfn.NORM.DIST(_xlfn.NORM.INV(SUM(F4:F5), 0, 1) + 1, 0, 1, TRUE) - SUM(F4:F5), "")</f>
        <v>0.19059090600150297</v>
      </c>
      <c r="G3" s="112">
        <f>IFERROR(_xlfn.NORM.DIST(_xlfn.NORM.INV(SUM(G4:G5), 0, 1) + 1, 0, 1, TRUE) - SUM(G4:G5), "")</f>
        <v>0.19058097588692124</v>
      </c>
    </row>
    <row r="4" spans="1:15" ht="15.75" customHeight="1" x14ac:dyDescent="0.25">
      <c r="B4" s="7" t="s">
        <v>104</v>
      </c>
      <c r="C4" s="113">
        <v>5.5271786E-3</v>
      </c>
      <c r="D4" s="113">
        <v>5.5271786E-3</v>
      </c>
      <c r="E4" s="113">
        <v>0</v>
      </c>
      <c r="F4" s="113">
        <v>3.6424096000000003E-2</v>
      </c>
      <c r="G4" s="113">
        <v>3.7740078000000003E-2</v>
      </c>
    </row>
    <row r="5" spans="1:15" ht="15.75" customHeight="1" x14ac:dyDescent="0.25">
      <c r="B5" s="7" t="s">
        <v>105</v>
      </c>
      <c r="C5" s="113">
        <v>0</v>
      </c>
      <c r="D5" s="113">
        <v>0</v>
      </c>
      <c r="E5" s="113">
        <v>1.4058390000000001E-3</v>
      </c>
      <c r="F5" s="113">
        <v>5.2717733000000001E-3</v>
      </c>
      <c r="G5" s="113">
        <v>3.9516979000000004E-3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0.86844633964209028</v>
      </c>
      <c r="D8" s="112">
        <f>IFERROR(1-_xlfn.NORM.DIST(_xlfn.NORM.INV(SUM(D10:D11), 0, 1) + 1, 0, 1, TRUE), "")</f>
        <v>0.86844633964209028</v>
      </c>
      <c r="E8" s="112">
        <f>IFERROR(1-_xlfn.NORM.DIST(_xlfn.NORM.INV(SUM(E10:E11), 0, 1) + 1, 0, 1, TRUE), "")</f>
        <v>0.94854441272980083</v>
      </c>
      <c r="F8" s="112">
        <f>IFERROR(1-_xlfn.NORM.DIST(_xlfn.NORM.INV(SUM(F10:F11), 0, 1) + 1, 0, 1, TRUE), "")</f>
        <v>0.83838131374153957</v>
      </c>
      <c r="G8" s="112">
        <f>IFERROR(1-_xlfn.NORM.DIST(_xlfn.NORM.INV(SUM(G10:G11), 0, 1) + 1, 0, 1, TRUE), "")</f>
        <v>0.85944405584287498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0.11451167735790969</v>
      </c>
      <c r="D9" s="112">
        <f>IFERROR(_xlfn.NORM.DIST(_xlfn.NORM.INV(SUM(D10:D11), 0, 1) + 1, 0, 1, TRUE) - SUM(D10:D11), "")</f>
        <v>0.11451167735790969</v>
      </c>
      <c r="E9" s="112">
        <f>IFERROR(_xlfn.NORM.DIST(_xlfn.NORM.INV(SUM(E10:E11), 0, 1) + 1, 0, 1, TRUE) - SUM(E10:E11), "")</f>
        <v>4.7197647470199125E-2</v>
      </c>
      <c r="F9" s="112">
        <f>IFERROR(_xlfn.NORM.DIST(_xlfn.NORM.INV(SUM(F10:F11), 0, 1) + 1, 0, 1, TRUE) - SUM(F10:F11), "")</f>
        <v>0.13820327405846045</v>
      </c>
      <c r="G9" s="112">
        <f>IFERROR(_xlfn.NORM.DIST(_xlfn.NORM.INV(SUM(G10:G11), 0, 1) + 1, 0, 1, TRUE) - SUM(G10:G11), "")</f>
        <v>0.12169320112712502</v>
      </c>
    </row>
    <row r="10" spans="1:15" ht="15.75" customHeight="1" x14ac:dyDescent="0.25">
      <c r="B10" s="7" t="s">
        <v>109</v>
      </c>
      <c r="C10" s="113">
        <v>1.5226834999999999E-2</v>
      </c>
      <c r="D10" s="113">
        <v>1.5226834999999999E-2</v>
      </c>
      <c r="E10" s="113">
        <v>4.2579397999999999E-3</v>
      </c>
      <c r="F10" s="113">
        <v>1.9031348999999999E-2</v>
      </c>
      <c r="G10" s="113">
        <v>1.8356117000000002E-2</v>
      </c>
    </row>
    <row r="11" spans="1:15" ht="15.75" customHeight="1" x14ac:dyDescent="0.25">
      <c r="B11" s="7" t="s">
        <v>110</v>
      </c>
      <c r="C11" s="113">
        <v>1.8151479999999999E-3</v>
      </c>
      <c r="D11" s="113">
        <v>1.8151479999999999E-3</v>
      </c>
      <c r="E11" s="113">
        <v>0</v>
      </c>
      <c r="F11" s="113">
        <v>4.3840631999999997E-3</v>
      </c>
      <c r="G11" s="113">
        <v>5.0662603000000003E-4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0.11872693625</v>
      </c>
      <c r="D14" s="115">
        <v>0.10841147821200001</v>
      </c>
      <c r="E14" s="115">
        <v>0.10841147821200001</v>
      </c>
      <c r="F14" s="115">
        <v>0.15067343412</v>
      </c>
      <c r="G14" s="115">
        <v>0.15067343412</v>
      </c>
      <c r="H14" s="116">
        <v>0.247</v>
      </c>
      <c r="I14" s="116">
        <v>0.247</v>
      </c>
      <c r="J14" s="116">
        <v>0.247</v>
      </c>
      <c r="K14" s="116">
        <v>0.247</v>
      </c>
      <c r="L14" s="116">
        <v>0.14599999999999999</v>
      </c>
      <c r="M14" s="116">
        <v>0.14599999999999999</v>
      </c>
      <c r="N14" s="116">
        <v>0.14599999999999999</v>
      </c>
      <c r="O14" s="116">
        <v>0.14599999999999999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6.5078270474457495E-2</v>
      </c>
      <c r="D15" s="112">
        <f t="shared" si="0"/>
        <v>5.9424017198256414E-2</v>
      </c>
      <c r="E15" s="112">
        <f t="shared" si="0"/>
        <v>5.9424017198256414E-2</v>
      </c>
      <c r="F15" s="112">
        <f t="shared" si="0"/>
        <v>8.2589232137932081E-2</v>
      </c>
      <c r="G15" s="112">
        <f t="shared" si="0"/>
        <v>8.2589232137932081E-2</v>
      </c>
      <c r="H15" s="112">
        <f t="shared" si="0"/>
        <v>0.13538909800000001</v>
      </c>
      <c r="I15" s="112">
        <f t="shared" si="0"/>
        <v>0.13538909800000001</v>
      </c>
      <c r="J15" s="112">
        <f t="shared" si="0"/>
        <v>0.13538909800000001</v>
      </c>
      <c r="K15" s="112">
        <f t="shared" si="0"/>
        <v>0.13538909800000001</v>
      </c>
      <c r="L15" s="112">
        <f t="shared" si="0"/>
        <v>8.0027563999999995E-2</v>
      </c>
      <c r="M15" s="112">
        <f t="shared" si="0"/>
        <v>8.0027563999999995E-2</v>
      </c>
      <c r="N15" s="112">
        <f t="shared" si="0"/>
        <v>8.0027563999999995E-2</v>
      </c>
      <c r="O15" s="112">
        <f t="shared" si="0"/>
        <v>8.0027563999999995E-2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0.43854946140000001</v>
      </c>
      <c r="D2" s="113">
        <v>0.22471399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8.4647979999999998E-2</v>
      </c>
      <c r="D3" s="113">
        <v>0.14546853000000001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0.37770904999999999</v>
      </c>
      <c r="D4" s="113">
        <v>0.45987926000000001</v>
      </c>
      <c r="E4" s="113">
        <v>0.68089199066162098</v>
      </c>
      <c r="F4" s="113">
        <v>0.39779895544052102</v>
      </c>
      <c r="G4" s="113">
        <v>0</v>
      </c>
    </row>
    <row r="5" spans="1:7" x14ac:dyDescent="0.25">
      <c r="B5" s="82" t="s">
        <v>122</v>
      </c>
      <c r="C5" s="112">
        <v>9.9093484879999985E-2</v>
      </c>
      <c r="D5" s="112">
        <v>0.16993823999999999</v>
      </c>
      <c r="E5" s="112">
        <f>1-SUM(E2:E4)</f>
        <v>0.31910800933837902</v>
      </c>
      <c r="F5" s="112">
        <f>1-SUM(F2:F4)</f>
        <v>0.60220104455947898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2022-03-01T00:14:17Z</dcterms:modified>
</cp:coreProperties>
</file>