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2064E15-6B08-49C8-B067-48EF05F3189F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<sst xmlns="http://schemas.openxmlformats.org/spreadsheetml/2006/main" count="2089" uniqueCount="342">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</sst>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5024412.34375</v>
      </c>
    </row>
    <row r="8" spans="1:3" ht="15" customHeight="1" x14ac:dyDescent="0.25">
      <c r="B8" s="7" t="s">
        <v>8</v>
      </c>
      <c r="C8" s="37">
        <v>1.4999999999999999E-2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0.68451698300000008</v>
      </c>
    </row>
    <row r="11" spans="1:3" ht="15" customHeight="1" x14ac:dyDescent="0.25">
      <c r="B11" s="7" t="s">
        <v>11</v>
      </c>
      <c r="C11" s="37">
        <v>0.67299999999999993</v>
      </c>
    </row>
    <row r="12" spans="1:3" ht="15" customHeight="1" x14ac:dyDescent="0.25">
      <c r="B12" s="7" t="s">
        <v>12</v>
      </c>
      <c r="C12" s="37">
        <v>0.66400000000000003</v>
      </c>
    </row>
    <row r="13" spans="1:3" ht="15" customHeight="1" x14ac:dyDescent="0.25">
      <c r="B13" s="7" t="s">
        <v>13</v>
      </c>
      <c r="C13" s="37">
        <v>0.22800000000000001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2.9899999999999999E-2</v>
      </c>
    </row>
    <row r="24" spans="1:3" ht="15" customHeight="1" x14ac:dyDescent="0.25">
      <c r="B24" s="10" t="s">
        <v>22</v>
      </c>
      <c r="C24" s="38">
        <v>0.41</v>
      </c>
    </row>
    <row r="25" spans="1:3" ht="15" customHeight="1" x14ac:dyDescent="0.25">
      <c r="B25" s="10" t="s">
        <v>23</v>
      </c>
      <c r="C25" s="38">
        <v>0.46339999999999998</v>
      </c>
    </row>
    <row r="26" spans="1:3" ht="15" customHeight="1" x14ac:dyDescent="0.25">
      <c r="B26" s="10" t="s">
        <v>24</v>
      </c>
      <c r="C26" s="38">
        <v>9.6699999999999994E-2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0.29181609532021502</v>
      </c>
    </row>
    <row r="30" spans="1:3" ht="14.25" customHeight="1" x14ac:dyDescent="0.25">
      <c r="B30" s="16" t="s">
        <v>27</v>
      </c>
      <c r="C30" s="98">
        <v>5.8372304444056097E-2</v>
      </c>
    </row>
    <row r="31" spans="1:3" ht="14.25" customHeight="1" x14ac:dyDescent="0.25">
      <c r="B31" s="16" t="s">
        <v>28</v>
      </c>
      <c r="C31" s="98">
        <v>0.119823270172546</v>
      </c>
    </row>
    <row r="32" spans="1:3" ht="14.25" customHeight="1" x14ac:dyDescent="0.25">
      <c r="B32" s="16" t="s">
        <v>29</v>
      </c>
      <c r="C32" s="98">
        <v>0.52998833006318302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16.283514249126799</v>
      </c>
    </row>
    <row r="38" spans="1:5" ht="15" customHeight="1" x14ac:dyDescent="0.25">
      <c r="B38" s="22" t="s">
        <v>34</v>
      </c>
      <c r="C38" s="36">
        <v>19.954866571449099</v>
      </c>
      <c r="D38" s="107"/>
      <c r="E38" s="108"/>
    </row>
    <row r="39" spans="1:5" ht="15" customHeight="1" x14ac:dyDescent="0.25">
      <c r="B39" s="22" t="s">
        <v>35</v>
      </c>
      <c r="C39" s="36">
        <v>23.256168115875301</v>
      </c>
      <c r="D39" s="107"/>
      <c r="E39" s="107"/>
    </row>
    <row r="40" spans="1:5" ht="15" customHeight="1" x14ac:dyDescent="0.25">
      <c r="B40" s="22" t="s">
        <v>36</v>
      </c>
      <c r="C40" s="109">
        <v>1.1200000000000001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9.4667756040000004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1.1868200000000001E-2</v>
      </c>
      <c r="D45" s="107"/>
    </row>
    <row r="46" spans="1:5" ht="15.75" customHeight="1" x14ac:dyDescent="0.25">
      <c r="B46" s="22" t="s">
        <v>41</v>
      </c>
      <c r="C46" s="38">
        <v>6.202527E-2</v>
      </c>
      <c r="D46" s="107"/>
    </row>
    <row r="47" spans="1:5" ht="15.75" customHeight="1" x14ac:dyDescent="0.25">
      <c r="B47" s="22" t="s">
        <v>42</v>
      </c>
      <c r="C47" s="38">
        <v>9.4214000000000006E-2</v>
      </c>
      <c r="D47" s="107"/>
      <c r="E47" s="108"/>
    </row>
    <row r="48" spans="1:5" ht="15" customHeight="1" x14ac:dyDescent="0.25">
      <c r="B48" s="22" t="s">
        <v>43</v>
      </c>
      <c r="C48" s="39">
        <v>0.83189252999999996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2.9</v>
      </c>
      <c r="D51" s="107"/>
    </row>
    <row r="52" spans="1:4" ht="15" customHeight="1" x14ac:dyDescent="0.25">
      <c r="B52" s="22" t="s">
        <v>46</v>
      </c>
      <c r="C52" s="41">
        <v>2.9</v>
      </c>
    </row>
    <row r="53" spans="1:4" ht="15.75" customHeight="1" x14ac:dyDescent="0.25">
      <c r="B53" s="22" t="s">
        <v>47</v>
      </c>
      <c r="C53" s="41">
        <v>2.9</v>
      </c>
    </row>
    <row r="54" spans="1:4" ht="15.75" customHeight="1" x14ac:dyDescent="0.25">
      <c r="B54" s="22" t="s">
        <v>48</v>
      </c>
      <c r="C54" s="41">
        <v>2.9</v>
      </c>
    </row>
    <row r="55" spans="1:4" ht="15.75" customHeight="1" x14ac:dyDescent="0.25">
      <c r="B55" s="22" t="s">
        <v>49</v>
      </c>
      <c r="C55" s="41">
        <v>2.9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2.0689655172413789E-2</v>
      </c>
    </row>
    <row r="59" spans="1:4" ht="15.75" customHeight="1" x14ac:dyDescent="0.25">
      <c r="B59" s="22" t="s">
        <v>52</v>
      </c>
      <c r="C59" s="37">
        <v>0.57310400000000006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7.2524920000000007E-2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0.54150001682701099</v>
      </c>
      <c r="C2" s="95">
        <v>0.95</v>
      </c>
      <c r="D2" s="96">
        <v>56.580620140373682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39.847657223635643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391.6881570886265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1.3766661360016159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0.16779839246765099</v>
      </c>
      <c r="C10" s="95">
        <v>0.95</v>
      </c>
      <c r="D10" s="96">
        <v>12.97995666743156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0.16779839246765099</v>
      </c>
      <c r="C11" s="95">
        <v>0.95</v>
      </c>
      <c r="D11" s="96">
        <v>12.97995666743156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0.16779839246765099</v>
      </c>
      <c r="C12" s="95">
        <v>0.95</v>
      </c>
      <c r="D12" s="96">
        <v>12.97995666743156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0.16779839246765099</v>
      </c>
      <c r="C13" s="95">
        <v>0.95</v>
      </c>
      <c r="D13" s="96">
        <v>12.97995666743156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0.16779839246765099</v>
      </c>
      <c r="C14" s="95">
        <v>0.95</v>
      </c>
      <c r="D14" s="96">
        <v>12.97995666743156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0.16779839246765099</v>
      </c>
      <c r="C15" s="95">
        <v>0.95</v>
      </c>
      <c r="D15" s="96">
        <v>12.97995666743156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0.68672246732690645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9.0366520404178896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9.0366520404178896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0.98601272579999999</v>
      </c>
      <c r="C21" s="95">
        <v>0.95</v>
      </c>
      <c r="D21" s="96">
        <v>18.09265788699528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22.382365332181759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4.259198426998462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0.24924331081499801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0.13087226495986901</v>
      </c>
      <c r="C27" s="95">
        <v>0.95</v>
      </c>
      <c r="D27" s="96">
        <v>18.540655838323278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0.87586570932994201</v>
      </c>
      <c r="C29" s="95">
        <v>0.95</v>
      </c>
      <c r="D29" s="96">
        <v>110.3413816734874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0.92241108658405979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2.0029354100000001E-3</v>
      </c>
      <c r="C32" s="95">
        <v>0.95</v>
      </c>
      <c r="D32" s="96">
        <v>1.4711834954966929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0.1809837151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3.7098806669089082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0.76776752817665694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2.9</v>
      </c>
      <c r="C2" s="121">
        <f>'Entradas de población-año base'!C52</f>
        <v>2.9</v>
      </c>
      <c r="D2" s="121">
        <f>'Entradas de población-año base'!C53</f>
        <v>2.9</v>
      </c>
      <c r="E2" s="121">
        <f>'Entradas de población-año base'!C54</f>
        <v>2.9</v>
      </c>
      <c r="F2" s="121">
        <f>'Entradas de población-año base'!C55</f>
        <v>2.9</v>
      </c>
    </row>
    <row r="3" spans="1:6" ht="15.75" customHeight="1" x14ac:dyDescent="0.25">
      <c r="A3" s="4" t="s">
        <v>204</v>
      </c>
      <c r="B3" s="121">
        <f>frac_mam_1month * 2.6</f>
        <v>8.9043999200000015E-2</v>
      </c>
      <c r="C3" s="121">
        <f>frac_mam_1_5months * 2.6</f>
        <v>8.9043999200000015E-2</v>
      </c>
      <c r="D3" s="121">
        <f>frac_mam_6_11months * 2.6</f>
        <v>7.1840324400000002E-2</v>
      </c>
      <c r="E3" s="121">
        <f>frac_mam_12_23months * 2.6</f>
        <v>2.3417077320000004E-2</v>
      </c>
      <c r="F3" s="121">
        <f>frac_mam_24_59months * 2.6</f>
        <v>2.8061771399999998E-2</v>
      </c>
    </row>
    <row r="4" spans="1:6" ht="15.75" customHeight="1" x14ac:dyDescent="0.25">
      <c r="A4" s="4" t="s">
        <v>205</v>
      </c>
      <c r="B4" s="121">
        <f>frac_sam_1month * 2.6</f>
        <v>0.11921685619999997</v>
      </c>
      <c r="C4" s="121">
        <f>frac_sam_1_5months * 2.6</f>
        <v>0.11921685619999997</v>
      </c>
      <c r="D4" s="121">
        <f>frac_sam_6_11months * 2.6</f>
        <v>6.2152976600000007E-2</v>
      </c>
      <c r="E4" s="121">
        <f>frac_sam_12_23months * 2.6</f>
        <v>3.63603786E-2</v>
      </c>
      <c r="F4" s="121">
        <f>frac_sam_24_59months * 2.6</f>
        <v>1.4730691039999999E-2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1.4999999999999999E-2</v>
      </c>
      <c r="E2" s="50">
        <f>food_insecure</f>
        <v>1.4999999999999999E-2</v>
      </c>
      <c r="F2" s="50">
        <f>food_insecure</f>
        <v>1.4999999999999999E-2</v>
      </c>
      <c r="G2" s="50">
        <f>food_insecure</f>
        <v>1.4999999999999999E-2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1.4999999999999999E-2</v>
      </c>
      <c r="F5" s="50">
        <f>food_insecure</f>
        <v>1.4999999999999999E-2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5.9999999999999984E-2</v>
      </c>
      <c r="D7" s="50">
        <f>diarrhoea_1_5mo*frac_diarrhea_severe</f>
        <v>5.9999999999999984E-2</v>
      </c>
      <c r="E7" s="50">
        <f>diarrhoea_6_11mo*frac_diarrhea_severe</f>
        <v>5.9999999999999984E-2</v>
      </c>
      <c r="F7" s="50">
        <f>diarrhoea_12_23mo*frac_diarrhea_severe</f>
        <v>5.9999999999999984E-2</v>
      </c>
      <c r="G7" s="50">
        <f>diarrhoea_24_59mo*frac_diarrhea_severe</f>
        <v>5.9999999999999984E-2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1.4999999999999999E-2</v>
      </c>
      <c r="F8" s="50">
        <f>food_insecure</f>
        <v>1.4999999999999999E-2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1.4999999999999999E-2</v>
      </c>
      <c r="F9" s="50">
        <f>food_insecure</f>
        <v>1.4999999999999999E-2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0.66400000000000003</v>
      </c>
      <c r="E10" s="50">
        <f>IF(ISBLANK(comm_deliv), frac_children_health_facility,1)</f>
        <v>0.66400000000000003</v>
      </c>
      <c r="F10" s="50">
        <f>IF(ISBLANK(comm_deliv), frac_children_health_facility,1)</f>
        <v>0.66400000000000003</v>
      </c>
      <c r="G10" s="50">
        <f>IF(ISBLANK(comm_deliv), frac_children_health_facility,1)</f>
        <v>0.66400000000000003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5.9999999999999984E-2</v>
      </c>
      <c r="D12" s="50">
        <f>diarrhoea_1_5mo*frac_diarrhea_severe</f>
        <v>5.9999999999999984E-2</v>
      </c>
      <c r="E12" s="50">
        <f>diarrhoea_6_11mo*frac_diarrhea_severe</f>
        <v>5.9999999999999984E-2</v>
      </c>
      <c r="F12" s="50">
        <f>diarrhoea_12_23mo*frac_diarrhea_severe</f>
        <v>5.9999999999999984E-2</v>
      </c>
      <c r="G12" s="50">
        <f>diarrhoea_24_59mo*frac_diarrhea_severe</f>
        <v>5.9999999999999984E-2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1.4999999999999999E-2</v>
      </c>
      <c r="I15" s="50">
        <f>food_insecure</f>
        <v>1.4999999999999999E-2</v>
      </c>
      <c r="J15" s="50">
        <f>food_insecure</f>
        <v>1.4999999999999999E-2</v>
      </c>
      <c r="K15" s="50">
        <f>food_insecure</f>
        <v>1.4999999999999999E-2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0.67299999999999993</v>
      </c>
      <c r="I18" s="50">
        <f>frac_PW_health_facility</f>
        <v>0.67299999999999993</v>
      </c>
      <c r="J18" s="50">
        <f>frac_PW_health_facility</f>
        <v>0.67299999999999993</v>
      </c>
      <c r="K18" s="50">
        <f>frac_PW_health_facility</f>
        <v>0.67299999999999993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0.22800000000000001</v>
      </c>
      <c r="M24" s="50">
        <f>famplan_unmet_need</f>
        <v>0.22800000000000001</v>
      </c>
      <c r="N24" s="50">
        <f>famplan_unmet_need</f>
        <v>0.22800000000000001</v>
      </c>
      <c r="O24" s="50">
        <f>famplan_unmet_need</f>
        <v>0.22800000000000001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0.15558044983354993</v>
      </c>
      <c r="M25" s="50">
        <f>(1-food_insecure)*(0.49)+food_insecure*(0.7)</f>
        <v>0.49314999999999998</v>
      </c>
      <c r="N25" s="50">
        <f>(1-food_insecure)*(0.49)+food_insecure*(0.7)</f>
        <v>0.49314999999999998</v>
      </c>
      <c r="O25" s="50">
        <f>(1-food_insecure)*(0.49)+food_insecure*(0.7)</f>
        <v>0.49314999999999998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6.6677335642949975E-2</v>
      </c>
      <c r="M26" s="50">
        <f>(1-food_insecure)*(0.21)+food_insecure*(0.3)</f>
        <v>0.21134999999999998</v>
      </c>
      <c r="N26" s="50">
        <f>(1-food_insecure)*(0.21)+food_insecure*(0.3)</f>
        <v>0.21134999999999998</v>
      </c>
      <c r="O26" s="50">
        <f>(1-food_insecure)*(0.21)+food_insecure*(0.3)</f>
        <v>0.21134999999999998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9.3225231523499971E-2</v>
      </c>
      <c r="M27" s="50">
        <f>(1-food_insecure)*(0.3)</f>
        <v>0.29549999999999998</v>
      </c>
      <c r="N27" s="50">
        <f>(1-food_insecure)*(0.3)</f>
        <v>0.29549999999999998</v>
      </c>
      <c r="O27" s="50">
        <f>(1-food_insecure)*(0.3)</f>
        <v>0.29549999999999998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0.68451698300000008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848082.86579999991</v>
      </c>
      <c r="C2" s="110">
        <v>1487000</v>
      </c>
      <c r="D2" s="110">
        <v>3142000</v>
      </c>
      <c r="E2" s="110">
        <v>3667000</v>
      </c>
      <c r="F2" s="110">
        <v>2846000</v>
      </c>
      <c r="G2" s="111">
        <f t="shared" ref="G2:G16" si="0">C2+D2+E2+F2</f>
        <v>11142000</v>
      </c>
      <c r="H2" s="111">
        <f t="shared" ref="H2:H40" si="1">(B2 + stillbirth*B2/(1000-stillbirth))/(1-abortion)</f>
        <v>972941.14481201593</v>
      </c>
      <c r="I2" s="111">
        <f t="shared" ref="I2:I40" si="2">G2-H2</f>
        <v>10169058.855187984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832980.70559999987</v>
      </c>
      <c r="C3" s="110">
        <v>1568000</v>
      </c>
      <c r="D3" s="110">
        <v>3047000</v>
      </c>
      <c r="E3" s="110">
        <v>3676000</v>
      </c>
      <c r="F3" s="110">
        <v>2954000</v>
      </c>
      <c r="G3" s="111">
        <f t="shared" si="0"/>
        <v>11245000</v>
      </c>
      <c r="H3" s="111">
        <f t="shared" si="1"/>
        <v>955615.58191402955</v>
      </c>
      <c r="I3" s="111">
        <f t="shared" si="2"/>
        <v>10289384.41808597</v>
      </c>
    </row>
    <row r="4" spans="1:9" ht="15.75" customHeight="1" x14ac:dyDescent="0.25">
      <c r="A4" s="7">
        <f t="shared" si="3"/>
        <v>2023</v>
      </c>
      <c r="B4" s="42">
        <v>816773.0693999998</v>
      </c>
      <c r="C4" s="110">
        <v>1665000</v>
      </c>
      <c r="D4" s="110">
        <v>2961000</v>
      </c>
      <c r="E4" s="110">
        <v>3668000</v>
      </c>
      <c r="F4" s="110">
        <v>3059000</v>
      </c>
      <c r="G4" s="111">
        <f t="shared" si="0"/>
        <v>11353000</v>
      </c>
      <c r="H4" s="111">
        <f t="shared" si="1"/>
        <v>937021.79025164316</v>
      </c>
      <c r="I4" s="111">
        <f t="shared" si="2"/>
        <v>10415978.209748358</v>
      </c>
    </row>
    <row r="5" spans="1:9" ht="15.75" customHeight="1" x14ac:dyDescent="0.25">
      <c r="A5" s="7">
        <f t="shared" si="3"/>
        <v>2024</v>
      </c>
      <c r="B5" s="42">
        <v>799478.77139999985</v>
      </c>
      <c r="C5" s="110">
        <v>1769000</v>
      </c>
      <c r="D5" s="110">
        <v>2903000</v>
      </c>
      <c r="E5" s="110">
        <v>3642000</v>
      </c>
      <c r="F5" s="110">
        <v>3162000</v>
      </c>
      <c r="G5" s="111">
        <f t="shared" si="0"/>
        <v>11476000</v>
      </c>
      <c r="H5" s="111">
        <f t="shared" si="1"/>
        <v>917181.35392945935</v>
      </c>
      <c r="I5" s="111">
        <f t="shared" si="2"/>
        <v>10558818.64607054</v>
      </c>
    </row>
    <row r="6" spans="1:9" ht="15.75" customHeight="1" x14ac:dyDescent="0.25">
      <c r="A6" s="7">
        <f t="shared" si="3"/>
        <v>2025</v>
      </c>
      <c r="B6" s="42">
        <v>781169.652</v>
      </c>
      <c r="C6" s="110">
        <v>1871000</v>
      </c>
      <c r="D6" s="110">
        <v>2882000</v>
      </c>
      <c r="E6" s="110">
        <v>3600000</v>
      </c>
      <c r="F6" s="110">
        <v>3257000</v>
      </c>
      <c r="G6" s="111">
        <f t="shared" si="0"/>
        <v>11610000</v>
      </c>
      <c r="H6" s="111">
        <f t="shared" si="1"/>
        <v>896176.68998930056</v>
      </c>
      <c r="I6" s="111">
        <f t="shared" si="2"/>
        <v>10713823.3100107</v>
      </c>
    </row>
    <row r="7" spans="1:9" ht="15.75" customHeight="1" x14ac:dyDescent="0.25">
      <c r="A7" s="7">
        <f t="shared" si="3"/>
        <v>2026</v>
      </c>
      <c r="B7" s="42">
        <v>772272.43519999995</v>
      </c>
      <c r="C7" s="110">
        <v>1970000</v>
      </c>
      <c r="D7" s="110">
        <v>2896000</v>
      </c>
      <c r="E7" s="110">
        <v>3539000</v>
      </c>
      <c r="F7" s="110">
        <v>3341000</v>
      </c>
      <c r="G7" s="111">
        <f t="shared" si="0"/>
        <v>11746000</v>
      </c>
      <c r="H7" s="111">
        <f t="shared" si="1"/>
        <v>885969.58800892148</v>
      </c>
      <c r="I7" s="111">
        <f t="shared" si="2"/>
        <v>10860030.411991078</v>
      </c>
    </row>
    <row r="8" spans="1:9" ht="15.75" customHeight="1" x14ac:dyDescent="0.25">
      <c r="A8" s="7">
        <f t="shared" si="3"/>
        <v>2027</v>
      </c>
      <c r="B8" s="42">
        <v>762675.96799999999</v>
      </c>
      <c r="C8" s="110">
        <v>2069000</v>
      </c>
      <c r="D8" s="110">
        <v>2946000</v>
      </c>
      <c r="E8" s="110">
        <v>3464000</v>
      </c>
      <c r="F8" s="110">
        <v>3419000</v>
      </c>
      <c r="G8" s="111">
        <f t="shared" si="0"/>
        <v>11898000</v>
      </c>
      <c r="H8" s="111">
        <f t="shared" si="1"/>
        <v>874960.28908279422</v>
      </c>
      <c r="I8" s="111">
        <f t="shared" si="2"/>
        <v>11023039.710917206</v>
      </c>
    </row>
    <row r="9" spans="1:9" ht="15.75" customHeight="1" x14ac:dyDescent="0.25">
      <c r="A9" s="7">
        <f t="shared" si="3"/>
        <v>2028</v>
      </c>
      <c r="B9" s="42">
        <v>752416.63199999998</v>
      </c>
      <c r="C9" s="110">
        <v>2158000</v>
      </c>
      <c r="D9" s="110">
        <v>3031000</v>
      </c>
      <c r="E9" s="110">
        <v>3379000</v>
      </c>
      <c r="F9" s="110">
        <v>3486000</v>
      </c>
      <c r="G9" s="111">
        <f t="shared" si="0"/>
        <v>12054000</v>
      </c>
      <c r="H9" s="111">
        <f t="shared" si="1"/>
        <v>863190.53106105258</v>
      </c>
      <c r="I9" s="111">
        <f t="shared" si="2"/>
        <v>11190809.468938947</v>
      </c>
    </row>
    <row r="10" spans="1:9" ht="15.75" customHeight="1" x14ac:dyDescent="0.25">
      <c r="A10" s="7">
        <f t="shared" si="3"/>
        <v>2029</v>
      </c>
      <c r="B10" s="42">
        <v>741575.29419999989</v>
      </c>
      <c r="C10" s="110">
        <v>2226000</v>
      </c>
      <c r="D10" s="110">
        <v>3143000</v>
      </c>
      <c r="E10" s="110">
        <v>3288000</v>
      </c>
      <c r="F10" s="110">
        <v>3540000</v>
      </c>
      <c r="G10" s="111">
        <f t="shared" si="0"/>
        <v>12197000</v>
      </c>
      <c r="H10" s="111">
        <f t="shared" si="1"/>
        <v>850753.08651903144</v>
      </c>
      <c r="I10" s="111">
        <f t="shared" si="2"/>
        <v>11346246.913480969</v>
      </c>
    </row>
    <row r="11" spans="1:9" ht="15.75" customHeight="1" x14ac:dyDescent="0.25">
      <c r="A11" s="7">
        <f t="shared" si="3"/>
        <v>2030</v>
      </c>
      <c r="B11" s="42">
        <v>730181.83200000005</v>
      </c>
      <c r="C11" s="110">
        <v>2265000</v>
      </c>
      <c r="D11" s="110">
        <v>3277000</v>
      </c>
      <c r="E11" s="110">
        <v>3194000</v>
      </c>
      <c r="F11" s="110">
        <v>3579000</v>
      </c>
      <c r="G11" s="111">
        <f t="shared" si="0"/>
        <v>12315000</v>
      </c>
      <c r="H11" s="111">
        <f t="shared" si="1"/>
        <v>837682.23153154901</v>
      </c>
      <c r="I11" s="111">
        <f t="shared" si="2"/>
        <v>11477317.768468451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2.0130487463033702E-3</v>
      </c>
    </row>
    <row r="4" spans="1:8" ht="15.75" customHeight="1" x14ac:dyDescent="0.25">
      <c r="B4" s="13" t="s">
        <v>69</v>
      </c>
      <c r="C4" s="43">
        <v>0.14960439382219359</v>
      </c>
    </row>
    <row r="5" spans="1:8" ht="15.75" customHeight="1" x14ac:dyDescent="0.25">
      <c r="B5" s="13" t="s">
        <v>70</v>
      </c>
      <c r="C5" s="43">
        <v>5.2734933026843539E-2</v>
      </c>
    </row>
    <row r="6" spans="1:8" ht="15.75" customHeight="1" x14ac:dyDescent="0.25">
      <c r="B6" s="13" t="s">
        <v>71</v>
      </c>
      <c r="C6" s="43">
        <v>0.22482113712868021</v>
      </c>
    </row>
    <row r="7" spans="1:8" ht="15.75" customHeight="1" x14ac:dyDescent="0.25">
      <c r="B7" s="13" t="s">
        <v>72</v>
      </c>
      <c r="C7" s="43">
        <v>0.30996450393505232</v>
      </c>
    </row>
    <row r="8" spans="1:8" ht="15.75" customHeight="1" x14ac:dyDescent="0.25">
      <c r="B8" s="13" t="s">
        <v>73</v>
      </c>
      <c r="C8" s="43">
        <v>2.7142999592883479E-3</v>
      </c>
    </row>
    <row r="9" spans="1:8" ht="15.75" customHeight="1" x14ac:dyDescent="0.25">
      <c r="B9" s="13" t="s">
        <v>74</v>
      </c>
      <c r="C9" s="43">
        <v>0.18696461773612541</v>
      </c>
    </row>
    <row r="10" spans="1:8" ht="15.75" customHeight="1" x14ac:dyDescent="0.25">
      <c r="B10" s="13" t="s">
        <v>75</v>
      </c>
      <c r="C10" s="43">
        <v>7.1183065645513119E-2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0.1221445777483752</v>
      </c>
      <c r="D14" s="43">
        <v>0.1221445777483752</v>
      </c>
      <c r="E14" s="43">
        <v>0.1221445777483752</v>
      </c>
      <c r="F14" s="43">
        <v>0.1221445777483752</v>
      </c>
    </row>
    <row r="15" spans="1:8" ht="15.75" customHeight="1" x14ac:dyDescent="0.25">
      <c r="B15" s="13" t="s">
        <v>82</v>
      </c>
      <c r="C15" s="43">
        <v>0.25002175295076318</v>
      </c>
      <c r="D15" s="43">
        <v>0.25002175295076318</v>
      </c>
      <c r="E15" s="43">
        <v>0.25002175295076318</v>
      </c>
      <c r="F15" s="43">
        <v>0.25002175295076318</v>
      </c>
    </row>
    <row r="16" spans="1:8" ht="15.75" customHeight="1" x14ac:dyDescent="0.25">
      <c r="B16" s="13" t="s">
        <v>83</v>
      </c>
      <c r="C16" s="43">
        <v>2.1107906741679242E-2</v>
      </c>
      <c r="D16" s="43">
        <v>2.1107906741679242E-2</v>
      </c>
      <c r="E16" s="43">
        <v>2.1107906741679242E-2</v>
      </c>
      <c r="F16" s="43">
        <v>2.1107906741679242E-2</v>
      </c>
    </row>
    <row r="17" spans="1:8" ht="15.75" customHeight="1" x14ac:dyDescent="0.25">
      <c r="B17" s="13" t="s">
        <v>84</v>
      </c>
      <c r="C17" s="43">
        <v>8.6258804725034E-3</v>
      </c>
      <c r="D17" s="43">
        <v>8.6258804725034E-3</v>
      </c>
      <c r="E17" s="43">
        <v>8.6258804725034E-3</v>
      </c>
      <c r="F17" s="43">
        <v>8.6258804725034E-3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1.1522458310676911E-2</v>
      </c>
      <c r="D19" s="43">
        <v>1.1522458310676911E-2</v>
      </c>
      <c r="E19" s="43">
        <v>1.1522458310676911E-2</v>
      </c>
      <c r="F19" s="43">
        <v>1.1522458310676911E-2</v>
      </c>
    </row>
    <row r="20" spans="1:8" ht="15.75" customHeight="1" x14ac:dyDescent="0.25">
      <c r="B20" s="13" t="s">
        <v>87</v>
      </c>
      <c r="C20" s="43">
        <v>7.5238298237450671E-3</v>
      </c>
      <c r="D20" s="43">
        <v>7.5238298237450671E-3</v>
      </c>
      <c r="E20" s="43">
        <v>7.5238298237450671E-3</v>
      </c>
      <c r="F20" s="43">
        <v>7.5238298237450671E-3</v>
      </c>
    </row>
    <row r="21" spans="1:8" ht="15.75" customHeight="1" x14ac:dyDescent="0.25">
      <c r="B21" s="13" t="s">
        <v>88</v>
      </c>
      <c r="C21" s="43">
        <v>0.1362640217408535</v>
      </c>
      <c r="D21" s="43">
        <v>0.1362640217408535</v>
      </c>
      <c r="E21" s="43">
        <v>0.1362640217408535</v>
      </c>
      <c r="F21" s="43">
        <v>0.1362640217408535</v>
      </c>
    </row>
    <row r="22" spans="1:8" ht="15.75" customHeight="1" x14ac:dyDescent="0.25">
      <c r="B22" s="13" t="s">
        <v>89</v>
      </c>
      <c r="C22" s="43">
        <v>0.44278957221140353</v>
      </c>
      <c r="D22" s="43">
        <v>0.44278957221140353</v>
      </c>
      <c r="E22" s="43">
        <v>0.44278957221140353</v>
      </c>
      <c r="F22" s="43">
        <v>0.44278957221140353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4.6172718000000001E-2</v>
      </c>
    </row>
    <row r="27" spans="1:8" ht="15.75" customHeight="1" x14ac:dyDescent="0.25">
      <c r="B27" s="13" t="s">
        <v>92</v>
      </c>
      <c r="C27" s="43">
        <v>2.7233671000000001E-2</v>
      </c>
    </row>
    <row r="28" spans="1:8" ht="15.75" customHeight="1" x14ac:dyDescent="0.25">
      <c r="B28" s="13" t="s">
        <v>93</v>
      </c>
      <c r="C28" s="43">
        <v>0.19299803300000001</v>
      </c>
    </row>
    <row r="29" spans="1:8" ht="15.75" customHeight="1" x14ac:dyDescent="0.25">
      <c r="B29" s="13" t="s">
        <v>94</v>
      </c>
      <c r="C29" s="43">
        <v>0.151217407</v>
      </c>
    </row>
    <row r="30" spans="1:8" ht="15.75" customHeight="1" x14ac:dyDescent="0.25">
      <c r="B30" s="13" t="s">
        <v>95</v>
      </c>
      <c r="C30" s="43">
        <v>5.0257797E-2</v>
      </c>
    </row>
    <row r="31" spans="1:8" ht="15.75" customHeight="1" x14ac:dyDescent="0.25">
      <c r="B31" s="13" t="s">
        <v>96</v>
      </c>
      <c r="C31" s="43">
        <v>3.0332997E-2</v>
      </c>
    </row>
    <row r="32" spans="1:8" ht="15.75" customHeight="1" x14ac:dyDescent="0.25">
      <c r="B32" s="13" t="s">
        <v>97</v>
      </c>
      <c r="C32" s="43">
        <v>8.4368242999999996E-2</v>
      </c>
    </row>
    <row r="33" spans="2:3" ht="15.75" customHeight="1" x14ac:dyDescent="0.25">
      <c r="B33" s="13" t="s">
        <v>98</v>
      </c>
      <c r="C33" s="43">
        <v>0.169902637</v>
      </c>
    </row>
    <row r="34" spans="2:3" ht="15.75" customHeight="1" x14ac:dyDescent="0.25">
      <c r="B34" s="13" t="s">
        <v>99</v>
      </c>
      <c r="C34" s="43">
        <v>0.247516497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0.61918507127040545</v>
      </c>
      <c r="D2" s="112">
        <f>IFERROR(1-_xlfn.NORM.DIST(_xlfn.NORM.INV(SUM(D4:D5), 0, 1) + 1, 0, 1, TRUE), "")</f>
        <v>0.61918507127040545</v>
      </c>
      <c r="E2" s="112">
        <f>IFERROR(1-_xlfn.NORM.DIST(_xlfn.NORM.INV(SUM(E4:E5), 0, 1) + 1, 0, 1, TRUE), "")</f>
        <v>0.68153807213797157</v>
      </c>
      <c r="F2" s="112">
        <f>IFERROR(1-_xlfn.NORM.DIST(_xlfn.NORM.INV(SUM(F4:F5), 0, 1) + 1, 0, 1, TRUE), "")</f>
        <v>0.60842466094529279</v>
      </c>
      <c r="G2" s="112">
        <f>IFERROR(1-_xlfn.NORM.DIST(_xlfn.NORM.INV(SUM(G4:G5), 0, 1) + 1, 0, 1, TRUE), "")</f>
        <v>0.60691764781405966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0.28458577672959456</v>
      </c>
      <c r="D3" s="112">
        <f>IFERROR(_xlfn.NORM.DIST(_xlfn.NORM.INV(SUM(D4:D5), 0, 1) + 1, 0, 1, TRUE) - SUM(D4:D5), "")</f>
        <v>0.28458577672959456</v>
      </c>
      <c r="E3" s="112">
        <f>IFERROR(_xlfn.NORM.DIST(_xlfn.NORM.INV(SUM(E4:E5), 0, 1) + 1, 0, 1, TRUE) - SUM(E4:E5), "")</f>
        <v>0.24795204386202843</v>
      </c>
      <c r="F3" s="112">
        <f>IFERROR(_xlfn.NORM.DIST(_xlfn.NORM.INV(SUM(F4:F5), 0, 1) + 1, 0, 1, TRUE) - SUM(F4:F5), "")</f>
        <v>0.29045885105470726</v>
      </c>
      <c r="G3" s="112">
        <f>IFERROR(_xlfn.NORM.DIST(_xlfn.NORM.INV(SUM(G4:G5), 0, 1) + 1, 0, 1, TRUE) - SUM(G4:G5), "")</f>
        <v>0.29127036418594032</v>
      </c>
    </row>
    <row r="4" spans="1:15" ht="15.75" customHeight="1" x14ac:dyDescent="0.25">
      <c r="B4" s="7" t="s">
        <v>104</v>
      </c>
      <c r="C4" s="113">
        <v>5.4518189000000002E-2</v>
      </c>
      <c r="D4" s="113">
        <v>5.4518189000000002E-2</v>
      </c>
      <c r="E4" s="113">
        <v>4.9874071999999998E-2</v>
      </c>
      <c r="F4" s="113">
        <v>6.2763614999999995E-2</v>
      </c>
      <c r="G4" s="113">
        <v>6.7714462000000003E-2</v>
      </c>
    </row>
    <row r="5" spans="1:15" ht="15.75" customHeight="1" x14ac:dyDescent="0.25">
      <c r="B5" s="7" t="s">
        <v>105</v>
      </c>
      <c r="C5" s="113">
        <v>4.1710962999999997E-2</v>
      </c>
      <c r="D5" s="113">
        <v>4.1710962999999997E-2</v>
      </c>
      <c r="E5" s="113">
        <v>2.0635812E-2</v>
      </c>
      <c r="F5" s="113">
        <v>3.8352873000000003E-2</v>
      </c>
      <c r="G5" s="113">
        <v>3.4097526000000003E-2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0.65703960412800977</v>
      </c>
      <c r="D8" s="112">
        <f>IFERROR(1-_xlfn.NORM.DIST(_xlfn.NORM.INV(SUM(D10:D11), 0, 1) + 1, 0, 1, TRUE), "")</f>
        <v>0.65703960412800977</v>
      </c>
      <c r="E8" s="112">
        <f>IFERROR(1-_xlfn.NORM.DIST(_xlfn.NORM.INV(SUM(E10:E11), 0, 1) + 1, 0, 1, TRUE), "")</f>
        <v>0.73569872338031406</v>
      </c>
      <c r="F8" s="112">
        <f>IFERROR(1-_xlfn.NORM.DIST(_xlfn.NORM.INV(SUM(F10:F11), 0, 1) + 1, 0, 1, TRUE), "")</f>
        <v>0.8402661788036011</v>
      </c>
      <c r="G8" s="112">
        <f>IFERROR(1-_xlfn.NORM.DIST(_xlfn.NORM.INV(SUM(G10:G11), 0, 1) + 1, 0, 1, TRUE), "")</f>
        <v>0.87141193660862015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0.26286006687199026</v>
      </c>
      <c r="D9" s="112">
        <f>IFERROR(_xlfn.NORM.DIST(_xlfn.NORM.INV(SUM(D10:D11), 0, 1) + 1, 0, 1, TRUE) - SUM(D10:D11), "")</f>
        <v>0.26286006687199026</v>
      </c>
      <c r="E9" s="112">
        <f>IFERROR(_xlfn.NORM.DIST(_xlfn.NORM.INV(SUM(E10:E11), 0, 1) + 1, 0, 1, TRUE) - SUM(E10:E11), "")</f>
        <v>0.21276539161968588</v>
      </c>
      <c r="F9" s="112">
        <f>IFERROR(_xlfn.NORM.DIST(_xlfn.NORM.INV(SUM(F10:F11), 0, 1) + 1, 0, 1, TRUE) - SUM(F10:F11), "")</f>
        <v>0.13674249199639887</v>
      </c>
      <c r="G9" s="112">
        <f>IFERROR(_xlfn.NORM.DIST(_xlfn.NORM.INV(SUM(G10:G11), 0, 1) + 1, 0, 1, TRUE) - SUM(G10:G11), "")</f>
        <v>0.11212942399137982</v>
      </c>
    </row>
    <row r="10" spans="1:15" ht="15.75" customHeight="1" x14ac:dyDescent="0.25">
      <c r="B10" s="7" t="s">
        <v>109</v>
      </c>
      <c r="C10" s="113">
        <v>3.4247692000000003E-2</v>
      </c>
      <c r="D10" s="113">
        <v>3.4247692000000003E-2</v>
      </c>
      <c r="E10" s="113">
        <v>2.7630894E-2</v>
      </c>
      <c r="F10" s="113">
        <v>9.0065682000000005E-3</v>
      </c>
      <c r="G10" s="113">
        <v>1.0792988999999999E-2</v>
      </c>
    </row>
    <row r="11" spans="1:15" ht="15.75" customHeight="1" x14ac:dyDescent="0.25">
      <c r="B11" s="7" t="s">
        <v>110</v>
      </c>
      <c r="C11" s="113">
        <v>4.5852636999999988E-2</v>
      </c>
      <c r="D11" s="113">
        <v>4.5852636999999988E-2</v>
      </c>
      <c r="E11" s="113">
        <v>2.3904991E-2</v>
      </c>
      <c r="F11" s="113">
        <v>1.3984761E-2</v>
      </c>
      <c r="G11" s="113">
        <v>5.6656503999999996E-3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0.28899526175000001</v>
      </c>
      <c r="D14" s="115">
        <v>0.28268390162099999</v>
      </c>
      <c r="E14" s="115">
        <v>0.28268390162099999</v>
      </c>
      <c r="F14" s="115">
        <v>0.22708991540500001</v>
      </c>
      <c r="G14" s="115">
        <v>0.22708991540500001</v>
      </c>
      <c r="H14" s="116">
        <v>0.38900000000000001</v>
      </c>
      <c r="I14" s="116">
        <v>0.38900000000000001</v>
      </c>
      <c r="J14" s="116">
        <v>0.38900000000000001</v>
      </c>
      <c r="K14" s="116">
        <v>0.38900000000000001</v>
      </c>
      <c r="L14" s="116">
        <v>0.35499999999999998</v>
      </c>
      <c r="M14" s="116">
        <v>0.35499999999999998</v>
      </c>
      <c r="N14" s="116">
        <v>0.35499999999999998</v>
      </c>
      <c r="O14" s="116">
        <v>0.35499999999999998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0.16562434048997202</v>
      </c>
      <c r="D15" s="112">
        <f t="shared" si="0"/>
        <v>0.16200727475460158</v>
      </c>
      <c r="E15" s="112">
        <f t="shared" si="0"/>
        <v>0.16200727475460158</v>
      </c>
      <c r="F15" s="112">
        <f t="shared" si="0"/>
        <v>0.13014613887826715</v>
      </c>
      <c r="G15" s="112">
        <f t="shared" si="0"/>
        <v>0.13014613887826715</v>
      </c>
      <c r="H15" s="112">
        <f t="shared" si="0"/>
        <v>0.22293745600000003</v>
      </c>
      <c r="I15" s="112">
        <f t="shared" si="0"/>
        <v>0.22293745600000003</v>
      </c>
      <c r="J15" s="112">
        <f t="shared" si="0"/>
        <v>0.22293745600000003</v>
      </c>
      <c r="K15" s="112">
        <f t="shared" si="0"/>
        <v>0.22293745600000003</v>
      </c>
      <c r="L15" s="112">
        <f t="shared" si="0"/>
        <v>0.20345192000000001</v>
      </c>
      <c r="M15" s="112">
        <f t="shared" si="0"/>
        <v>0.20345192000000001</v>
      </c>
      <c r="N15" s="112">
        <f t="shared" si="0"/>
        <v>0.20345192000000001</v>
      </c>
      <c r="O15" s="112">
        <f t="shared" si="0"/>
        <v>0.20345192000000001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0.48628444669999998</v>
      </c>
      <c r="D2" s="113">
        <v>0.25397136999999997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0.26631912000000002</v>
      </c>
      <c r="D3" s="113">
        <v>0.19622299000000001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0.15732408000000001</v>
      </c>
      <c r="D4" s="113">
        <v>0.33420897999999999</v>
      </c>
      <c r="E4" s="113">
        <v>0.60344237089157093</v>
      </c>
      <c r="F4" s="113">
        <v>0.355428636074066</v>
      </c>
      <c r="G4" s="113">
        <v>0</v>
      </c>
    </row>
    <row r="5" spans="1:7" x14ac:dyDescent="0.25">
      <c r="B5" s="82" t="s">
        <v>122</v>
      </c>
      <c r="C5" s="112">
        <v>9.0072345730000003E-2</v>
      </c>
      <c r="D5" s="112">
        <v>0.21559668000000001</v>
      </c>
      <c r="E5" s="112">
        <f>1-SUM(E2:E4)</f>
        <v>0.39655762910842907</v>
      </c>
      <c r="F5" s="112">
        <f>1-SUM(F2:F4)</f>
        <v>0.64457136392593406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2022-03-01T00:13:47Z</dcterms:modified>
</cp:coreProperties>
</file>