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D9BB8299-7DF3-484B-BF8F-EDDE55627D3B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<sst xmlns="http://schemas.openxmlformats.org/spreadsheetml/2006/main" count="2089" uniqueCount="342">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</sst>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933582.2265625</v>
      </c>
    </row>
    <row r="8" spans="1:3" ht="15" customHeight="1" x14ac:dyDescent="0.25">
      <c r="B8" s="7" t="s">
        <v>8</v>
      </c>
      <c r="C8" s="37">
        <v>3.5000000000000003E-2</v>
      </c>
    </row>
    <row r="9" spans="1:3" ht="15" customHeight="1" x14ac:dyDescent="0.25">
      <c r="B9" s="7" t="s">
        <v>9</v>
      </c>
      <c r="C9" s="38">
        <v>0.01</v>
      </c>
    </row>
    <row r="10" spans="1:3" ht="15" customHeight="1" x14ac:dyDescent="0.25">
      <c r="B10" s="7" t="s">
        <v>10</v>
      </c>
      <c r="C10" s="38">
        <v>0.80865753173828092</v>
      </c>
    </row>
    <row r="11" spans="1:3" ht="15" customHeight="1" x14ac:dyDescent="0.25">
      <c r="B11" s="7" t="s">
        <v>11</v>
      </c>
      <c r="C11" s="37">
        <v>0.62</v>
      </c>
    </row>
    <row r="12" spans="1:3" ht="15" customHeight="1" x14ac:dyDescent="0.25">
      <c r="B12" s="7" t="s">
        <v>12</v>
      </c>
      <c r="C12" s="37">
        <v>0.72</v>
      </c>
    </row>
    <row r="13" spans="1:3" ht="15" customHeight="1" x14ac:dyDescent="0.25">
      <c r="B13" s="7" t="s">
        <v>13</v>
      </c>
      <c r="C13" s="37">
        <v>0.249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0.1108</v>
      </c>
    </row>
    <row r="24" spans="1:3" ht="15" customHeight="1" x14ac:dyDescent="0.25">
      <c r="B24" s="10" t="s">
        <v>22</v>
      </c>
      <c r="C24" s="38">
        <v>0.51619999999999999</v>
      </c>
    </row>
    <row r="25" spans="1:3" ht="15" customHeight="1" x14ac:dyDescent="0.25">
      <c r="B25" s="10" t="s">
        <v>23</v>
      </c>
      <c r="C25" s="38">
        <v>0.3543</v>
      </c>
    </row>
    <row r="26" spans="1:3" ht="15" customHeight="1" x14ac:dyDescent="0.25">
      <c r="B26" s="10" t="s">
        <v>24</v>
      </c>
      <c r="C26" s="38">
        <v>1.8700000000000001E-2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0.35675533525383901</v>
      </c>
    </row>
    <row r="30" spans="1:3" ht="14.25" customHeight="1" x14ac:dyDescent="0.25">
      <c r="B30" s="16" t="s">
        <v>27</v>
      </c>
      <c r="C30" s="98">
        <v>6.5910586704521698E-2</v>
      </c>
    </row>
    <row r="31" spans="1:3" ht="14.25" customHeight="1" x14ac:dyDescent="0.25">
      <c r="B31" s="16" t="s">
        <v>28</v>
      </c>
      <c r="C31" s="98">
        <v>9.262041217609189E-2</v>
      </c>
    </row>
    <row r="32" spans="1:3" ht="14.25" customHeight="1" x14ac:dyDescent="0.25">
      <c r="B32" s="16" t="s">
        <v>29</v>
      </c>
      <c r="C32" s="98">
        <v>0.48471366586554798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3.4494386581701701</v>
      </c>
    </row>
    <row r="38" spans="1:5" ht="15" customHeight="1" x14ac:dyDescent="0.25">
      <c r="B38" s="22" t="s">
        <v>34</v>
      </c>
      <c r="C38" s="36">
        <v>5.6946702691401896</v>
      </c>
      <c r="D38" s="107"/>
      <c r="E38" s="108"/>
    </row>
    <row r="39" spans="1:5" ht="15" customHeight="1" x14ac:dyDescent="0.25">
      <c r="B39" s="22" t="s">
        <v>35</v>
      </c>
      <c r="C39" s="36">
        <v>6.9787128462022396</v>
      </c>
      <c r="D39" s="107"/>
      <c r="E39" s="107"/>
    </row>
    <row r="40" spans="1:5" ht="15" customHeight="1" x14ac:dyDescent="0.25">
      <c r="B40" s="22" t="s">
        <v>36</v>
      </c>
      <c r="C40" s="109">
        <v>0.19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3.2249903579999999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2.11395375E-2</v>
      </c>
      <c r="D45" s="107"/>
    </row>
    <row r="46" spans="1:5" ht="15.75" customHeight="1" x14ac:dyDescent="0.25">
      <c r="B46" s="22" t="s">
        <v>41</v>
      </c>
      <c r="C46" s="38">
        <v>7.4799499999999991E-2</v>
      </c>
      <c r="D46" s="107"/>
    </row>
    <row r="47" spans="1:5" ht="15.75" customHeight="1" x14ac:dyDescent="0.25">
      <c r="B47" s="22" t="s">
        <v>42</v>
      </c>
      <c r="C47" s="38">
        <v>0.13228186250000001</v>
      </c>
      <c r="D47" s="107"/>
      <c r="E47" s="108"/>
    </row>
    <row r="48" spans="1:5" ht="15" customHeight="1" x14ac:dyDescent="0.25">
      <c r="B48" s="22" t="s">
        <v>43</v>
      </c>
      <c r="C48" s="39">
        <v>0.77177909999999994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2.8</v>
      </c>
      <c r="D51" s="107"/>
    </row>
    <row r="52" spans="1:4" ht="15" customHeight="1" x14ac:dyDescent="0.25">
      <c r="B52" s="22" t="s">
        <v>46</v>
      </c>
      <c r="C52" s="41">
        <v>2.8</v>
      </c>
    </row>
    <row r="53" spans="1:4" ht="15.75" customHeight="1" x14ac:dyDescent="0.25">
      <c r="B53" s="22" t="s">
        <v>47</v>
      </c>
      <c r="C53" s="41">
        <v>2.8</v>
      </c>
    </row>
    <row r="54" spans="1:4" ht="15.75" customHeight="1" x14ac:dyDescent="0.25">
      <c r="B54" s="22" t="s">
        <v>48</v>
      </c>
      <c r="C54" s="41">
        <v>2.8</v>
      </c>
    </row>
    <row r="55" spans="1:4" ht="15.75" customHeight="1" x14ac:dyDescent="0.25">
      <c r="B55" s="22" t="s">
        <v>49</v>
      </c>
      <c r="C55" s="41">
        <v>2.8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1.6428571428571431E-2</v>
      </c>
    </row>
    <row r="59" spans="1:4" ht="15.75" customHeight="1" x14ac:dyDescent="0.25">
      <c r="B59" s="22" t="s">
        <v>52</v>
      </c>
      <c r="C59" s="37">
        <v>0.62845099999999998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8.1845530999999999E-2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0.58912787</v>
      </c>
      <c r="C2" s="95">
        <v>0.95</v>
      </c>
      <c r="D2" s="96">
        <v>92.337747645899924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40.649110236447719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952.2771040936276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8.6128948600850652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0.18255716799999999</v>
      </c>
      <c r="C10" s="95">
        <v>0.95</v>
      </c>
      <c r="D10" s="96">
        <v>13.78140968024363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0.18255716799999999</v>
      </c>
      <c r="C11" s="95">
        <v>0.95</v>
      </c>
      <c r="D11" s="96">
        <v>13.78140968024363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0.18255716799999999</v>
      </c>
      <c r="C12" s="95">
        <v>0.95</v>
      </c>
      <c r="D12" s="96">
        <v>13.78140968024363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0.18255716799999999</v>
      </c>
      <c r="C13" s="95">
        <v>0.95</v>
      </c>
      <c r="D13" s="96">
        <v>13.78140968024363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0.18255716799999999</v>
      </c>
      <c r="C14" s="95">
        <v>0.95</v>
      </c>
      <c r="D14" s="96">
        <v>13.78140968024363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0.18255716799999999</v>
      </c>
      <c r="C15" s="95">
        <v>0.95</v>
      </c>
      <c r="D15" s="96">
        <v>13.78140968024363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1.4881754801389779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</v>
      </c>
      <c r="C18" s="95">
        <v>0.95</v>
      </c>
      <c r="D18" s="96">
        <v>21.79150990690356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21.79150990690356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0.98499999999999999</v>
      </c>
      <c r="C21" s="95">
        <v>0.95</v>
      </c>
      <c r="D21" s="96">
        <v>91.149218966868133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24.185634611008918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4.7601065600060064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0.24898731499999999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0.14238318799999999</v>
      </c>
      <c r="C27" s="95">
        <v>0.95</v>
      </c>
      <c r="D27" s="96">
        <v>19.347107873216441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0.84309924344814502</v>
      </c>
      <c r="C29" s="95">
        <v>0.95</v>
      </c>
      <c r="D29" s="96">
        <v>191.95165548538569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0.83197235394544489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0</v>
      </c>
      <c r="C32" s="95">
        <v>0.95</v>
      </c>
      <c r="D32" s="96">
        <v>3.2744527743238541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4.9836110403594773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0.64526283546383201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2.8</v>
      </c>
      <c r="C2" s="121">
        <f>'Entradas de población-año base'!C52</f>
        <v>2.8</v>
      </c>
      <c r="D2" s="121">
        <f>'Entradas de población-año base'!C53</f>
        <v>2.8</v>
      </c>
      <c r="E2" s="121">
        <f>'Entradas de población-año base'!C54</f>
        <v>2.8</v>
      </c>
      <c r="F2" s="121">
        <f>'Entradas de población-año base'!C55</f>
        <v>2.8</v>
      </c>
    </row>
    <row r="3" spans="1:6" ht="15.75" customHeight="1" x14ac:dyDescent="0.25">
      <c r="A3" s="4" t="s">
        <v>204</v>
      </c>
      <c r="B3" s="121">
        <f>frac_mam_1month * 2.6</f>
        <v>0.18201947558038559</v>
      </c>
      <c r="C3" s="121">
        <f>frac_mam_1_5months * 2.6</f>
        <v>0.18201947558038559</v>
      </c>
      <c r="D3" s="121">
        <f>frac_mam_6_11months * 2.6</f>
        <v>0.10527129588199952</v>
      </c>
      <c r="E3" s="121">
        <f>frac_mam_12_23months * 2.6</f>
        <v>5.6188773086799863E-2</v>
      </c>
      <c r="F3" s="121">
        <f>frac_mam_24_59months * 2.6</f>
        <v>4.7173474617443208E-2</v>
      </c>
    </row>
    <row r="4" spans="1:6" ht="15.75" customHeight="1" x14ac:dyDescent="0.25">
      <c r="A4" s="4" t="s">
        <v>205</v>
      </c>
      <c r="B4" s="121">
        <f>frac_sam_1month * 2.6</f>
        <v>0.11838290131538888</v>
      </c>
      <c r="C4" s="121">
        <f>frac_sam_1_5months * 2.6</f>
        <v>0.11838290131538888</v>
      </c>
      <c r="D4" s="121">
        <f>frac_sam_6_11months * 2.6</f>
        <v>5.3628706098394707E-2</v>
      </c>
      <c r="E4" s="121">
        <f>frac_sam_12_23months * 2.6</f>
        <v>3.5214787126157339E-2</v>
      </c>
      <c r="F4" s="121">
        <f>frac_sam_24_59months * 2.6</f>
        <v>3.1943934111073664E-2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3.5000000000000003E-2</v>
      </c>
      <c r="E2" s="50">
        <f>food_insecure</f>
        <v>3.5000000000000003E-2</v>
      </c>
      <c r="F2" s="50">
        <f>food_insecure</f>
        <v>3.5000000000000003E-2</v>
      </c>
      <c r="G2" s="50">
        <f>food_insecure</f>
        <v>3.5000000000000003E-2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3.5000000000000003E-2</v>
      </c>
      <c r="F5" s="50">
        <f>food_insecure</f>
        <v>3.5000000000000003E-2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4.6000000000000006E-2</v>
      </c>
      <c r="D7" s="50">
        <f>diarrhoea_1_5mo*frac_diarrhea_severe</f>
        <v>4.6000000000000006E-2</v>
      </c>
      <c r="E7" s="50">
        <f>diarrhoea_6_11mo*frac_diarrhea_severe</f>
        <v>4.6000000000000006E-2</v>
      </c>
      <c r="F7" s="50">
        <f>diarrhoea_12_23mo*frac_diarrhea_severe</f>
        <v>4.6000000000000006E-2</v>
      </c>
      <c r="G7" s="50">
        <f>diarrhoea_24_59mo*frac_diarrhea_severe</f>
        <v>4.6000000000000006E-2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3.5000000000000003E-2</v>
      </c>
      <c r="F8" s="50">
        <f>food_insecure</f>
        <v>3.5000000000000003E-2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3.5000000000000003E-2</v>
      </c>
      <c r="F9" s="50">
        <f>food_insecure</f>
        <v>3.5000000000000003E-2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0.72</v>
      </c>
      <c r="E10" s="50">
        <f>IF(ISBLANK(comm_deliv), frac_children_health_facility,1)</f>
        <v>0.72</v>
      </c>
      <c r="F10" s="50">
        <f>IF(ISBLANK(comm_deliv), frac_children_health_facility,1)</f>
        <v>0.72</v>
      </c>
      <c r="G10" s="50">
        <f>IF(ISBLANK(comm_deliv), frac_children_health_facility,1)</f>
        <v>0.72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4.6000000000000006E-2</v>
      </c>
      <c r="D12" s="50">
        <f>diarrhoea_1_5mo*frac_diarrhea_severe</f>
        <v>4.6000000000000006E-2</v>
      </c>
      <c r="E12" s="50">
        <f>diarrhoea_6_11mo*frac_diarrhea_severe</f>
        <v>4.6000000000000006E-2</v>
      </c>
      <c r="F12" s="50">
        <f>diarrhoea_12_23mo*frac_diarrhea_severe</f>
        <v>4.6000000000000006E-2</v>
      </c>
      <c r="G12" s="50">
        <f>diarrhoea_24_59mo*frac_diarrhea_severe</f>
        <v>4.6000000000000006E-2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3.5000000000000003E-2</v>
      </c>
      <c r="I15" s="50">
        <f>food_insecure</f>
        <v>3.5000000000000003E-2</v>
      </c>
      <c r="J15" s="50">
        <f>food_insecure</f>
        <v>3.5000000000000003E-2</v>
      </c>
      <c r="K15" s="50">
        <f>food_insecure</f>
        <v>3.5000000000000003E-2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0.62</v>
      </c>
      <c r="I18" s="50">
        <f>frac_PW_health_facility</f>
        <v>0.62</v>
      </c>
      <c r="J18" s="50">
        <f>frac_PW_health_facility</f>
        <v>0.62</v>
      </c>
      <c r="K18" s="50">
        <f>frac_PW_health_facility</f>
        <v>0.62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0.01</v>
      </c>
      <c r="I19" s="50">
        <f>frac_malaria_risk</f>
        <v>0.01</v>
      </c>
      <c r="J19" s="50">
        <f>frac_malaria_risk</f>
        <v>0.01</v>
      </c>
      <c r="K19" s="50">
        <f>frac_malaria_risk</f>
        <v>0.01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0.249</v>
      </c>
      <c r="M24" s="50">
        <f>famplan_unmet_need</f>
        <v>0.249</v>
      </c>
      <c r="N24" s="50">
        <f>famplan_unmet_need</f>
        <v>0.249</v>
      </c>
      <c r="O24" s="50">
        <f>famplan_unmet_need</f>
        <v>0.249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9.5164176589965982E-2</v>
      </c>
      <c r="M25" s="50">
        <f>(1-food_insecure)*(0.49)+food_insecure*(0.7)</f>
        <v>0.49735000000000001</v>
      </c>
      <c r="N25" s="50">
        <f>(1-food_insecure)*(0.49)+food_insecure*(0.7)</f>
        <v>0.49735000000000001</v>
      </c>
      <c r="O25" s="50">
        <f>(1-food_insecure)*(0.49)+food_insecure*(0.7)</f>
        <v>0.49735000000000001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4.0784647109985417E-2</v>
      </c>
      <c r="M26" s="50">
        <f>(1-food_insecure)*(0.21)+food_insecure*(0.3)</f>
        <v>0.21315000000000001</v>
      </c>
      <c r="N26" s="50">
        <f>(1-food_insecure)*(0.21)+food_insecure*(0.3)</f>
        <v>0.21315000000000001</v>
      </c>
      <c r="O26" s="50">
        <f>(1-food_insecure)*(0.21)+food_insecure*(0.3)</f>
        <v>0.21315000000000001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5.5393644561767666E-2</v>
      </c>
      <c r="M27" s="50">
        <f>(1-food_insecure)*(0.3)</f>
        <v>0.28949999999999998</v>
      </c>
      <c r="N27" s="50">
        <f>(1-food_insecure)*(0.3)</f>
        <v>0.28949999999999998</v>
      </c>
      <c r="O27" s="50">
        <f>(1-food_insecure)*(0.3)</f>
        <v>0.28949999999999998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0.80865753173828092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0.01</v>
      </c>
      <c r="D34" s="50">
        <f t="shared" si="3"/>
        <v>0.01</v>
      </c>
      <c r="E34" s="50">
        <f t="shared" si="3"/>
        <v>0.01</v>
      </c>
      <c r="F34" s="50">
        <f t="shared" si="3"/>
        <v>0.01</v>
      </c>
      <c r="G34" s="50">
        <f t="shared" si="3"/>
        <v>0.01</v>
      </c>
      <c r="H34" s="50">
        <f t="shared" si="3"/>
        <v>0.01</v>
      </c>
      <c r="I34" s="50">
        <f t="shared" si="3"/>
        <v>0.01</v>
      </c>
      <c r="J34" s="50">
        <f t="shared" si="3"/>
        <v>0.01</v>
      </c>
      <c r="K34" s="50">
        <f t="shared" si="3"/>
        <v>0.01</v>
      </c>
      <c r="L34" s="50">
        <f t="shared" si="3"/>
        <v>0.01</v>
      </c>
      <c r="M34" s="50">
        <f t="shared" si="3"/>
        <v>0.01</v>
      </c>
      <c r="N34" s="50">
        <f t="shared" si="3"/>
        <v>0.01</v>
      </c>
      <c r="O34" s="50">
        <f t="shared" si="3"/>
        <v>0.01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179137.54560000001</v>
      </c>
      <c r="C2" s="110">
        <v>498000</v>
      </c>
      <c r="D2" s="110">
        <v>1027000</v>
      </c>
      <c r="E2" s="110">
        <v>12058000</v>
      </c>
      <c r="F2" s="110">
        <v>10671000</v>
      </c>
      <c r="G2" s="111">
        <f t="shared" ref="G2:G16" si="0">C2+D2+E2+F2</f>
        <v>24254000</v>
      </c>
      <c r="H2" s="111">
        <f t="shared" ref="H2:H40" si="1">(B2 + stillbirth*B2/(1000-stillbirth))/(1-abortion)</f>
        <v>204224.01320071711</v>
      </c>
      <c r="I2" s="111">
        <f t="shared" ref="I2:I40" si="2">G2-H2</f>
        <v>24049775.986799281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177216.16959999999</v>
      </c>
      <c r="C3" s="110">
        <v>499000</v>
      </c>
      <c r="D3" s="110">
        <v>1013000</v>
      </c>
      <c r="E3" s="110">
        <v>11838000</v>
      </c>
      <c r="F3" s="110">
        <v>10810000</v>
      </c>
      <c r="G3" s="111">
        <f t="shared" si="0"/>
        <v>24160000</v>
      </c>
      <c r="H3" s="111">
        <f t="shared" si="1"/>
        <v>202033.56721535278</v>
      </c>
      <c r="I3" s="111">
        <f t="shared" si="2"/>
        <v>23957966.432784647</v>
      </c>
    </row>
    <row r="4" spans="1:9" ht="15.75" customHeight="1" x14ac:dyDescent="0.25">
      <c r="A4" s="7">
        <f t="shared" si="3"/>
        <v>2023</v>
      </c>
      <c r="B4" s="42">
        <v>175323.6832</v>
      </c>
      <c r="C4" s="110">
        <v>501000</v>
      </c>
      <c r="D4" s="110">
        <v>1005000</v>
      </c>
      <c r="E4" s="110">
        <v>11511000</v>
      </c>
      <c r="F4" s="110">
        <v>10930000</v>
      </c>
      <c r="G4" s="111">
        <f t="shared" si="0"/>
        <v>23947000</v>
      </c>
      <c r="H4" s="111">
        <f t="shared" si="1"/>
        <v>199876.05653694487</v>
      </c>
      <c r="I4" s="111">
        <f t="shared" si="2"/>
        <v>23747123.943463054</v>
      </c>
    </row>
    <row r="5" spans="1:9" ht="15.75" customHeight="1" x14ac:dyDescent="0.25">
      <c r="A5" s="7">
        <f t="shared" si="3"/>
        <v>2024</v>
      </c>
      <c r="B5" s="42">
        <v>173469.00339999999</v>
      </c>
      <c r="C5" s="110">
        <v>502000</v>
      </c>
      <c r="D5" s="110">
        <v>1000000</v>
      </c>
      <c r="E5" s="110">
        <v>11094000</v>
      </c>
      <c r="F5" s="110">
        <v>11069000</v>
      </c>
      <c r="G5" s="111">
        <f t="shared" si="0"/>
        <v>23665000</v>
      </c>
      <c r="H5" s="111">
        <f t="shared" si="1"/>
        <v>197761.64690444904</v>
      </c>
      <c r="I5" s="111">
        <f t="shared" si="2"/>
        <v>23467238.35309555</v>
      </c>
    </row>
    <row r="6" spans="1:9" ht="15.75" customHeight="1" x14ac:dyDescent="0.25">
      <c r="A6" s="7">
        <f t="shared" si="3"/>
        <v>2025</v>
      </c>
      <c r="B6" s="42">
        <v>171633.35</v>
      </c>
      <c r="C6" s="110">
        <v>499000</v>
      </c>
      <c r="D6" s="110">
        <v>994000</v>
      </c>
      <c r="E6" s="110">
        <v>10599000</v>
      </c>
      <c r="F6" s="110">
        <v>11246000</v>
      </c>
      <c r="G6" s="111">
        <f t="shared" si="0"/>
        <v>23338000</v>
      </c>
      <c r="H6" s="111">
        <f t="shared" si="1"/>
        <v>195668.92813386465</v>
      </c>
      <c r="I6" s="111">
        <f t="shared" si="2"/>
        <v>23142331.071866136</v>
      </c>
    </row>
    <row r="7" spans="1:9" ht="15.75" customHeight="1" x14ac:dyDescent="0.25">
      <c r="A7" s="7">
        <f t="shared" si="3"/>
        <v>2026</v>
      </c>
      <c r="B7" s="42">
        <v>170175.91500000001</v>
      </c>
      <c r="C7" s="110">
        <v>494000</v>
      </c>
      <c r="D7" s="110">
        <v>991000</v>
      </c>
      <c r="E7" s="110">
        <v>10022000</v>
      </c>
      <c r="F7" s="110">
        <v>11435000</v>
      </c>
      <c r="G7" s="111">
        <f t="shared" si="0"/>
        <v>22942000</v>
      </c>
      <c r="H7" s="111">
        <f t="shared" si="1"/>
        <v>194007.39356453542</v>
      </c>
      <c r="I7" s="111">
        <f t="shared" si="2"/>
        <v>22747992.606435463</v>
      </c>
    </row>
    <row r="8" spans="1:9" ht="15.75" customHeight="1" x14ac:dyDescent="0.25">
      <c r="A8" s="7">
        <f t="shared" si="3"/>
        <v>2027</v>
      </c>
      <c r="B8" s="42">
        <v>168724.432</v>
      </c>
      <c r="C8" s="110">
        <v>486000</v>
      </c>
      <c r="D8" s="110">
        <v>989000</v>
      </c>
      <c r="E8" s="110">
        <v>9370000</v>
      </c>
      <c r="F8" s="110">
        <v>11652000</v>
      </c>
      <c r="G8" s="111">
        <f t="shared" si="0"/>
        <v>22497000</v>
      </c>
      <c r="H8" s="111">
        <f t="shared" si="1"/>
        <v>192352.64451480514</v>
      </c>
      <c r="I8" s="111">
        <f t="shared" si="2"/>
        <v>22304647.355485193</v>
      </c>
    </row>
    <row r="9" spans="1:9" ht="15.75" customHeight="1" x14ac:dyDescent="0.25">
      <c r="A9" s="7">
        <f t="shared" si="3"/>
        <v>2028</v>
      </c>
      <c r="B9" s="42">
        <v>167251.682</v>
      </c>
      <c r="C9" s="110">
        <v>477000</v>
      </c>
      <c r="D9" s="110">
        <v>987000</v>
      </c>
      <c r="E9" s="110">
        <v>8696000</v>
      </c>
      <c r="F9" s="110">
        <v>11852000</v>
      </c>
      <c r="G9" s="111">
        <f t="shared" si="0"/>
        <v>22012000</v>
      </c>
      <c r="H9" s="111">
        <f t="shared" si="1"/>
        <v>190673.65022896766</v>
      </c>
      <c r="I9" s="111">
        <f t="shared" si="2"/>
        <v>21821326.349771034</v>
      </c>
    </row>
    <row r="10" spans="1:9" ht="15.75" customHeight="1" x14ac:dyDescent="0.25">
      <c r="A10" s="7">
        <f t="shared" si="3"/>
        <v>2029</v>
      </c>
      <c r="B10" s="42">
        <v>165766.986</v>
      </c>
      <c r="C10" s="110">
        <v>467000</v>
      </c>
      <c r="D10" s="110">
        <v>984000</v>
      </c>
      <c r="E10" s="110">
        <v>8082000</v>
      </c>
      <c r="F10" s="110">
        <v>11971000</v>
      </c>
      <c r="G10" s="111">
        <f t="shared" si="0"/>
        <v>21504000</v>
      </c>
      <c r="H10" s="111">
        <f t="shared" si="1"/>
        <v>188981.03702224157</v>
      </c>
      <c r="I10" s="111">
        <f t="shared" si="2"/>
        <v>21315018.96297776</v>
      </c>
    </row>
    <row r="11" spans="1:9" ht="15.75" customHeight="1" x14ac:dyDescent="0.25">
      <c r="A11" s="7">
        <f t="shared" si="3"/>
        <v>2030</v>
      </c>
      <c r="B11" s="42">
        <v>164261.519</v>
      </c>
      <c r="C11" s="110">
        <v>460000</v>
      </c>
      <c r="D11" s="110">
        <v>980000</v>
      </c>
      <c r="E11" s="110">
        <v>7580000</v>
      </c>
      <c r="F11" s="110">
        <v>11970000</v>
      </c>
      <c r="G11" s="111">
        <f t="shared" si="0"/>
        <v>20990000</v>
      </c>
      <c r="H11" s="111">
        <f t="shared" si="1"/>
        <v>187264.74403937487</v>
      </c>
      <c r="I11" s="111">
        <f t="shared" si="2"/>
        <v>20802735.255960625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0</v>
      </c>
    </row>
    <row r="4" spans="1:8" ht="15.75" customHeight="1" x14ac:dyDescent="0.25">
      <c r="B4" s="13" t="s">
        <v>69</v>
      </c>
      <c r="C4" s="43">
        <v>1.6926218717804649E-2</v>
      </c>
    </row>
    <row r="5" spans="1:8" ht="15.75" customHeight="1" x14ac:dyDescent="0.25">
      <c r="B5" s="13" t="s">
        <v>70</v>
      </c>
      <c r="C5" s="43">
        <v>0.10869605779531261</v>
      </c>
    </row>
    <row r="6" spans="1:8" ht="15.75" customHeight="1" x14ac:dyDescent="0.25">
      <c r="B6" s="13" t="s">
        <v>71</v>
      </c>
      <c r="C6" s="43">
        <v>5.9248256875466553E-2</v>
      </c>
    </row>
    <row r="7" spans="1:8" ht="15.75" customHeight="1" x14ac:dyDescent="0.25">
      <c r="B7" s="13" t="s">
        <v>72</v>
      </c>
      <c r="C7" s="43">
        <v>0.48224904386075579</v>
      </c>
    </row>
    <row r="8" spans="1:8" ht="15.75" customHeight="1" x14ac:dyDescent="0.25">
      <c r="B8" s="13" t="s">
        <v>73</v>
      </c>
      <c r="C8" s="43">
        <v>0</v>
      </c>
    </row>
    <row r="9" spans="1:8" ht="15.75" customHeight="1" x14ac:dyDescent="0.25">
      <c r="B9" s="13" t="s">
        <v>74</v>
      </c>
      <c r="C9" s="43">
        <v>0.25658968115453301</v>
      </c>
    </row>
    <row r="10" spans="1:8" ht="15.75" customHeight="1" x14ac:dyDescent="0.25">
      <c r="B10" s="13" t="s">
        <v>75</v>
      </c>
      <c r="C10" s="43">
        <v>7.6290741596127407E-2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4.449461027195783E-3</v>
      </c>
      <c r="D14" s="43">
        <v>4.449461027195783E-3</v>
      </c>
      <c r="E14" s="43">
        <v>4.449461027195783E-3</v>
      </c>
      <c r="F14" s="43">
        <v>4.449461027195783E-3</v>
      </c>
    </row>
    <row r="15" spans="1:8" ht="15.75" customHeight="1" x14ac:dyDescent="0.25">
      <c r="B15" s="13" t="s">
        <v>82</v>
      </c>
      <c r="C15" s="43">
        <v>0.42924604033635089</v>
      </c>
      <c r="D15" s="43">
        <v>0.42924604033635089</v>
      </c>
      <c r="E15" s="43">
        <v>0.42924604033635089</v>
      </c>
      <c r="F15" s="43">
        <v>0.42924604033635089</v>
      </c>
    </row>
    <row r="16" spans="1:8" ht="15.75" customHeight="1" x14ac:dyDescent="0.25">
      <c r="B16" s="13" t="s">
        <v>83</v>
      </c>
      <c r="C16" s="43">
        <v>1.5474558425237379E-2</v>
      </c>
      <c r="D16" s="43">
        <v>1.5474558425237379E-2</v>
      </c>
      <c r="E16" s="43">
        <v>1.5474558425237379E-2</v>
      </c>
      <c r="F16" s="43">
        <v>1.5474558425237379E-2</v>
      </c>
    </row>
    <row r="17" spans="1:8" ht="15.75" customHeight="1" x14ac:dyDescent="0.25">
      <c r="B17" s="13" t="s">
        <v>84</v>
      </c>
      <c r="C17" s="43">
        <v>1.652669645312074E-3</v>
      </c>
      <c r="D17" s="43">
        <v>1.652669645312074E-3</v>
      </c>
      <c r="E17" s="43">
        <v>1.652669645312074E-3</v>
      </c>
      <c r="F17" s="43">
        <v>1.652669645312074E-3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0</v>
      </c>
      <c r="D19" s="43">
        <v>0</v>
      </c>
      <c r="E19" s="43">
        <v>0</v>
      </c>
      <c r="F19" s="43">
        <v>0</v>
      </c>
    </row>
    <row r="20" spans="1:8" ht="15.75" customHeight="1" x14ac:dyDescent="0.25">
      <c r="B20" s="13" t="s">
        <v>87</v>
      </c>
      <c r="C20" s="43">
        <v>4.1607217409277836E-3</v>
      </c>
      <c r="D20" s="43">
        <v>4.1607217409277836E-3</v>
      </c>
      <c r="E20" s="43">
        <v>4.1607217409277836E-3</v>
      </c>
      <c r="F20" s="43">
        <v>4.1607217409277836E-3</v>
      </c>
    </row>
    <row r="21" spans="1:8" ht="15.75" customHeight="1" x14ac:dyDescent="0.25">
      <c r="B21" s="13" t="s">
        <v>88</v>
      </c>
      <c r="C21" s="43">
        <v>0.1410897828025737</v>
      </c>
      <c r="D21" s="43">
        <v>0.1410897828025737</v>
      </c>
      <c r="E21" s="43">
        <v>0.1410897828025737</v>
      </c>
      <c r="F21" s="43">
        <v>0.1410897828025737</v>
      </c>
    </row>
    <row r="22" spans="1:8" ht="15.75" customHeight="1" x14ac:dyDescent="0.25">
      <c r="B22" s="13" t="s">
        <v>89</v>
      </c>
      <c r="C22" s="43">
        <v>0.40392676602240229</v>
      </c>
      <c r="D22" s="43">
        <v>0.40392676602240229</v>
      </c>
      <c r="E22" s="43">
        <v>0.40392676602240229</v>
      </c>
      <c r="F22" s="43">
        <v>0.40392676602240229</v>
      </c>
    </row>
    <row r="23" spans="1:8" ht="15.75" customHeight="1" x14ac:dyDescent="0.25">
      <c r="B23" s="18" t="s">
        <v>30</v>
      </c>
      <c r="C23" s="40">
        <f>SUM(C14:C22)</f>
        <v>0.99999999999999989</v>
      </c>
      <c r="D23" s="40">
        <f>SUM(D14:D22)</f>
        <v>0.99999999999999989</v>
      </c>
      <c r="E23" s="40">
        <f>SUM(E14:E22)</f>
        <v>0.99999999999999989</v>
      </c>
      <c r="F23" s="40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7.5198439000000006E-2</v>
      </c>
    </row>
    <row r="27" spans="1:8" ht="15.75" customHeight="1" x14ac:dyDescent="0.25">
      <c r="B27" s="13" t="s">
        <v>92</v>
      </c>
      <c r="C27" s="43">
        <v>5.6785192000000012E-2</v>
      </c>
    </row>
    <row r="28" spans="1:8" ht="15.75" customHeight="1" x14ac:dyDescent="0.25">
      <c r="B28" s="13" t="s">
        <v>93</v>
      </c>
      <c r="C28" s="43">
        <v>0.122549727</v>
      </c>
    </row>
    <row r="29" spans="1:8" ht="15.75" customHeight="1" x14ac:dyDescent="0.25">
      <c r="B29" s="13" t="s">
        <v>94</v>
      </c>
      <c r="C29" s="43">
        <v>8.6248906E-2</v>
      </c>
    </row>
    <row r="30" spans="1:8" ht="15.75" customHeight="1" x14ac:dyDescent="0.25">
      <c r="B30" s="13" t="s">
        <v>95</v>
      </c>
      <c r="C30" s="43">
        <v>6.4099332999999994E-2</v>
      </c>
    </row>
    <row r="31" spans="1:8" ht="15.75" customHeight="1" x14ac:dyDescent="0.25">
      <c r="B31" s="13" t="s">
        <v>96</v>
      </c>
      <c r="C31" s="43">
        <v>0.35120792499999998</v>
      </c>
    </row>
    <row r="32" spans="1:8" ht="15.75" customHeight="1" x14ac:dyDescent="0.25">
      <c r="B32" s="13" t="s">
        <v>97</v>
      </c>
      <c r="C32" s="43">
        <v>0.132871925</v>
      </c>
    </row>
    <row r="33" spans="2:3" ht="15.75" customHeight="1" x14ac:dyDescent="0.25">
      <c r="B33" s="13" t="s">
        <v>98</v>
      </c>
      <c r="C33" s="43">
        <v>4.9043437000000002E-2</v>
      </c>
    </row>
    <row r="34" spans="2:3" ht="15.75" customHeight="1" x14ac:dyDescent="0.25">
      <c r="B34" s="13" t="s">
        <v>99</v>
      </c>
      <c r="C34" s="43">
        <v>6.1995117000000002E-2</v>
      </c>
    </row>
    <row r="35" spans="2:3" ht="15.75" customHeight="1" x14ac:dyDescent="0.25">
      <c r="B35" s="18" t="s">
        <v>30</v>
      </c>
      <c r="C35" s="40">
        <f>SUM(C26:C34)</f>
        <v>1.0000000009999999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0.58437563457141883</v>
      </c>
      <c r="D2" s="112">
        <f>IFERROR(1-_xlfn.NORM.DIST(_xlfn.NORM.INV(SUM(D4:D5), 0, 1) + 1, 0, 1, TRUE), "")</f>
        <v>0.58457492048436066</v>
      </c>
      <c r="E2" s="112">
        <f>IFERROR(1-_xlfn.NORM.DIST(_xlfn.NORM.INV(SUM(E4:E5), 0, 1) + 1, 0, 1, TRUE), "")</f>
        <v>0.58246549792395419</v>
      </c>
      <c r="F2" s="112">
        <f>IFERROR(1-_xlfn.NORM.DIST(_xlfn.NORM.INV(SUM(F4:F5), 0, 1) + 1, 0, 1, TRUE), "")</f>
        <v>0.50092793318511419</v>
      </c>
      <c r="G2" s="112">
        <f>IFERROR(1-_xlfn.NORM.DIST(_xlfn.NORM.INV(SUM(G4:G5), 0, 1) + 1, 0, 1, TRUE), "")</f>
        <v>0.51589053854357536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0.30307862771519101</v>
      </c>
      <c r="D3" s="112">
        <f>IFERROR(_xlfn.NORM.DIST(_xlfn.NORM.INV(SUM(D4:D5), 0, 1) + 1, 0, 1, TRUE) - SUM(D4:D5), "")</f>
        <v>0.30297699132207184</v>
      </c>
      <c r="E3" s="112">
        <f>IFERROR(_xlfn.NORM.DIST(_xlfn.NORM.INV(SUM(E4:E5), 0, 1) + 1, 0, 1, TRUE) - SUM(E4:E5), "")</f>
        <v>0.30405026808033742</v>
      </c>
      <c r="F3" s="112">
        <f>IFERROR(_xlfn.NORM.DIST(_xlfn.NORM.INV(SUM(F4:F5), 0, 1) + 1, 0, 1, TRUE) - SUM(F4:F5), "")</f>
        <v>0.34097897876232264</v>
      </c>
      <c r="G3" s="112">
        <f>IFERROR(_xlfn.NORM.DIST(_xlfn.NORM.INV(SUM(G4:G5), 0, 1) + 1, 0, 1, TRUE) - SUM(G4:G5), "")</f>
        <v>0.33490285435371436</v>
      </c>
    </row>
    <row r="4" spans="1:15" ht="15.75" customHeight="1" x14ac:dyDescent="0.25">
      <c r="B4" s="7" t="s">
        <v>104</v>
      </c>
      <c r="C4" s="113">
        <v>6.8506343215358007E-2</v>
      </c>
      <c r="D4" s="113">
        <v>6.8506343215358007E-2</v>
      </c>
      <c r="E4" s="113">
        <v>6.0878984057916898E-2</v>
      </c>
      <c r="F4" s="113">
        <v>9.30039194557684E-2</v>
      </c>
      <c r="G4" s="113">
        <v>9.5245285743845595E-2</v>
      </c>
    </row>
    <row r="5" spans="1:15" ht="15.75" customHeight="1" x14ac:dyDescent="0.25">
      <c r="B5" s="7" t="s">
        <v>105</v>
      </c>
      <c r="C5" s="113">
        <v>4.4039394498032201E-2</v>
      </c>
      <c r="D5" s="113">
        <v>4.3941744978209497E-2</v>
      </c>
      <c r="E5" s="113">
        <v>5.2605249937791497E-2</v>
      </c>
      <c r="F5" s="113">
        <v>6.5089168596794797E-2</v>
      </c>
      <c r="G5" s="113">
        <v>5.3961321358864688E-2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0.57831498063356757</v>
      </c>
      <c r="D8" s="112">
        <f>IFERROR(1-_xlfn.NORM.DIST(_xlfn.NORM.INV(SUM(D10:D11), 0, 1) + 1, 0, 1, TRUE), "")</f>
        <v>0.57831498063356757</v>
      </c>
      <c r="E8" s="112">
        <f>IFERROR(1-_xlfn.NORM.DIST(_xlfn.NORM.INV(SUM(E10:E11), 0, 1) + 1, 0, 1, TRUE), "")</f>
        <v>0.7072874761722443</v>
      </c>
      <c r="F8" s="112">
        <f>IFERROR(1-_xlfn.NORM.DIST(_xlfn.NORM.INV(SUM(F10:F11), 0, 1) + 1, 0, 1, TRUE), "")</f>
        <v>0.79100277724113255</v>
      </c>
      <c r="G8" s="112">
        <f>IFERROR(1-_xlfn.NORM.DIST(_xlfn.NORM.INV(SUM(G10:G11), 0, 1) + 1, 0, 1, TRUE), "")</f>
        <v>0.80908093685773375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0.30614564363728841</v>
      </c>
      <c r="D9" s="112">
        <f>IFERROR(_xlfn.NORM.DIST(_xlfn.NORM.INV(SUM(D10:D11), 0, 1) + 1, 0, 1, TRUE) - SUM(D10:D11), "")</f>
        <v>0.30614564363728841</v>
      </c>
      <c r="E9" s="112">
        <f>IFERROR(_xlfn.NORM.DIST(_xlfn.NORM.INV(SUM(E10:E11), 0, 1) + 1, 0, 1, TRUE) - SUM(E10:E11), "")</f>
        <v>0.23159713845068106</v>
      </c>
      <c r="F9" s="112">
        <f>IFERROR(_xlfn.NORM.DIST(_xlfn.NORM.INV(SUM(F10:F11), 0, 1) + 1, 0, 1, TRUE) - SUM(F10:F11), "")</f>
        <v>0.17384200729234547</v>
      </c>
      <c r="G9" s="112">
        <f>IFERROR(_xlfn.NORM.DIST(_xlfn.NORM.INV(SUM(G10:G11), 0, 1) + 1, 0, 1, TRUE) - SUM(G10:G11), "")</f>
        <v>0.16048929055437519</v>
      </c>
    </row>
    <row r="10" spans="1:15" ht="15.75" customHeight="1" x14ac:dyDescent="0.25">
      <c r="B10" s="7" t="s">
        <v>109</v>
      </c>
      <c r="C10" s="113">
        <v>7.0007490607840603E-2</v>
      </c>
      <c r="D10" s="113">
        <v>7.0007490607840603E-2</v>
      </c>
      <c r="E10" s="113">
        <v>4.0488959954615197E-2</v>
      </c>
      <c r="F10" s="113">
        <v>2.16110665718461E-2</v>
      </c>
      <c r="G10" s="113">
        <v>1.8143644083632001E-2</v>
      </c>
    </row>
    <row r="11" spans="1:15" ht="15.75" customHeight="1" x14ac:dyDescent="0.25">
      <c r="B11" s="7" t="s">
        <v>110</v>
      </c>
      <c r="C11" s="113">
        <v>4.5531885121303413E-2</v>
      </c>
      <c r="D11" s="113">
        <v>4.5531885121303413E-2</v>
      </c>
      <c r="E11" s="113">
        <v>2.0626425422459502E-2</v>
      </c>
      <c r="F11" s="113">
        <v>1.35441488946759E-2</v>
      </c>
      <c r="G11" s="113">
        <v>1.22861285042591E-2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0.57073461624999999</v>
      </c>
      <c r="D14" s="115">
        <v>0.56424493110999996</v>
      </c>
      <c r="E14" s="115">
        <v>0.56424493110999996</v>
      </c>
      <c r="F14" s="115">
        <v>0.275576724198</v>
      </c>
      <c r="G14" s="115">
        <v>0.275576724198</v>
      </c>
      <c r="H14" s="116">
        <v>0.27400000000000002</v>
      </c>
      <c r="I14" s="116">
        <v>0.27400000000000002</v>
      </c>
      <c r="J14" s="116">
        <v>0.27400000000000002</v>
      </c>
      <c r="K14" s="116">
        <v>0.27400000000000002</v>
      </c>
      <c r="L14" s="116">
        <v>0.26700000000000002</v>
      </c>
      <c r="M14" s="116">
        <v>0.26700000000000002</v>
      </c>
      <c r="N14" s="116">
        <v>0.26700000000000002</v>
      </c>
      <c r="O14" s="116">
        <v>0.26700000000000002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0.35867874031692876</v>
      </c>
      <c r="D15" s="112">
        <f t="shared" si="0"/>
        <v>0.35460029120101055</v>
      </c>
      <c r="E15" s="112">
        <f t="shared" si="0"/>
        <v>0.35460029120101055</v>
      </c>
      <c r="F15" s="112">
        <f t="shared" si="0"/>
        <v>0.17318646789895728</v>
      </c>
      <c r="G15" s="112">
        <f t="shared" si="0"/>
        <v>0.17318646789895728</v>
      </c>
      <c r="H15" s="112">
        <f t="shared" si="0"/>
        <v>0.17219557400000002</v>
      </c>
      <c r="I15" s="112">
        <f t="shared" si="0"/>
        <v>0.17219557400000002</v>
      </c>
      <c r="J15" s="112">
        <f t="shared" si="0"/>
        <v>0.17219557400000002</v>
      </c>
      <c r="K15" s="112">
        <f t="shared" si="0"/>
        <v>0.17219557400000002</v>
      </c>
      <c r="L15" s="112">
        <f t="shared" si="0"/>
        <v>0.167796417</v>
      </c>
      <c r="M15" s="112">
        <f t="shared" si="0"/>
        <v>0.167796417</v>
      </c>
      <c r="N15" s="112">
        <f t="shared" si="0"/>
        <v>0.167796417</v>
      </c>
      <c r="O15" s="112">
        <f t="shared" si="0"/>
        <v>0.167796417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0.43501501852123098</v>
      </c>
      <c r="D2" s="113">
        <v>0.23498266272916701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0.2763713716074</v>
      </c>
      <c r="D3" s="113">
        <v>0.288356971458333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0.208402150173296</v>
      </c>
      <c r="D4" s="113">
        <v>0.32155992791666699</v>
      </c>
      <c r="E4" s="113">
        <v>0.67901725684710901</v>
      </c>
      <c r="F4" s="113">
        <v>0.33638759210421898</v>
      </c>
      <c r="G4" s="113">
        <v>0</v>
      </c>
    </row>
    <row r="5" spans="1:7" x14ac:dyDescent="0.25">
      <c r="B5" s="82" t="s">
        <v>122</v>
      </c>
      <c r="C5" s="112">
        <v>8.0177836077641909E-2</v>
      </c>
      <c r="D5" s="112">
        <v>0.15519734193479201</v>
      </c>
      <c r="E5" s="112">
        <f>1-SUM(E2:E4)</f>
        <v>0.32098274315289099</v>
      </c>
      <c r="F5" s="112">
        <f>1-SUM(F2:F4)</f>
        <v>0.66361240789578102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2022-03-01T00:15:35Z</dcterms:modified>
</cp:coreProperties>
</file>