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Applications\DRC\Provincial projections\Updated\"/>
    </mc:Choice>
  </mc:AlternateContent>
  <bookViews>
    <workbookView xWindow="0" yWindow="0" windowWidth="23040" windowHeight="8616" tabRatio="933" firstSheet="1" activeTab="1"/>
  </bookViews>
  <sheets>
    <sheet name="Cost curve options" sheetId="61" state="hidden" r:id="rId1"/>
    <sheet name="Baseline year population inputs" sheetId="1" r:id="rId2"/>
    <sheet name="Demographic projections" sheetId="2" r:id="rId3"/>
    <sheet name="Causes of death" sheetId="4" r:id="rId4"/>
    <sheet name="Nutritional status distribution" sheetId="5" r:id="rId5"/>
    <sheet name="Breastfeeding distribution" sheetId="50" r:id="rId6"/>
    <sheet name="Time trends" sheetId="51" state="hidden" r:id="rId7"/>
    <sheet name="IYCF packages" sheetId="55" r:id="rId8"/>
    <sheet name="Treatment of SAM" sheetId="60" r:id="rId9"/>
    <sheet name="Programs cost and coverage" sheetId="56" r:id="rId10"/>
    <sheet name="IYCF cost" sheetId="57" r:id="rId11"/>
    <sheet name="Program dependencies" sheetId="58" r:id="rId12"/>
    <sheet name="Reference programs" sheetId="59" state="hidden" r:id="rId13"/>
    <sheet name="Incidence of conditions" sheetId="7" r:id="rId14"/>
    <sheet name="Programs target population" sheetId="21" r:id="rId15"/>
    <sheet name="Programs family planning" sheetId="54" r:id="rId16"/>
  </sheets>
  <externalReferences>
    <externalReference r:id="rId17"/>
  </externalReferences>
  <definedNames>
    <definedName name="abortion" localSheetId="0">'[1]Baseline year population inputs'!$C$41</definedName>
    <definedName name="abortion" localSheetId="7">'Baseline year population inputs'!$C$38</definedName>
    <definedName name="abortion">'Baseline year population inputs'!$C$41</definedName>
    <definedName name="comm_deliv" localSheetId="0">'[1]Treatment of SAM'!$D$3</definedName>
    <definedName name="comm_deliv">'Treatment of SAM'!$D$3</definedName>
    <definedName name="diarrhoea_1_5mo" localSheetId="0">'[1]Baseline year population inputs'!$C$52</definedName>
    <definedName name="diarrhoea_1_5mo">'Baseline year population inputs'!$C$52</definedName>
    <definedName name="diarrhoea_12_23mo" localSheetId="0">'[1]Baseline year population inputs'!$C$54</definedName>
    <definedName name="diarrhoea_12_23mo">'Baseline year population inputs'!$C$54</definedName>
    <definedName name="diarrhoea_1mo" localSheetId="0">'[1]Baseline year population inputs'!$C$51</definedName>
    <definedName name="diarrhoea_1mo">'Baseline year population inputs'!$C$51</definedName>
    <definedName name="diarrhoea_24_59mo" localSheetId="0">'[1]Baseline year population inputs'!$C$55</definedName>
    <definedName name="diarrhoea_24_59mo">'Baseline year population inputs'!$C$55</definedName>
    <definedName name="diarrhoea_6_11mo" localSheetId="0">'[1]Baseline year population inputs'!$C$53</definedName>
    <definedName name="diarrhoea_6_11mo">'Baseline year population inputs'!$C$53</definedName>
    <definedName name="end_year" localSheetId="0">'[1]Baseline year population inputs'!$C$4</definedName>
    <definedName name="end_year">'Baseline year population inputs'!$C$4</definedName>
    <definedName name="famplan_unmet_need" localSheetId="0">'[1]Baseline year population inputs'!$C$13</definedName>
    <definedName name="famplan_unmet_need">'Baseline year population inputs'!$C$13</definedName>
    <definedName name="food_insecure" localSheetId="0">'[1]Baseline year population inputs'!$C$8</definedName>
    <definedName name="food_insecure">'Baseline year population inputs'!$C$8</definedName>
    <definedName name="frac_children_health_facility" localSheetId="0">'[1]Baseline year population inputs'!$C$12</definedName>
    <definedName name="frac_children_health_facility">'Baseline year population inputs'!$C$12</definedName>
    <definedName name="frac_diarrhea_severe">'Baseline year population inputs'!$C$58</definedName>
    <definedName name="frac_maize" localSheetId="0">'[1]Baseline year population inputs'!$C$19</definedName>
    <definedName name="frac_maize">'Baseline year population inputs'!$C$19</definedName>
    <definedName name="frac_malaria_risk" localSheetId="0">'[1]Baseline year population inputs'!$C$9</definedName>
    <definedName name="frac_malaria_risk">'Baseline year population inputs'!$C$9</definedName>
    <definedName name="frac_mam_1_5months" localSheetId="0">'[1]Nutritional status distribution'!$D$10</definedName>
    <definedName name="frac_mam_1_5months">'Nutritional status distribution'!$D$10</definedName>
    <definedName name="frac_mam_12_23months" localSheetId="0">'[1]Nutritional status distribution'!$F$10</definedName>
    <definedName name="frac_mam_12_23months">'Nutritional status distribution'!$F$10</definedName>
    <definedName name="frac_mam_1month" localSheetId="0">'[1]Nutritional status distribution'!$C$10</definedName>
    <definedName name="frac_mam_1month">'Nutritional status distribution'!$C$10</definedName>
    <definedName name="frac_mam_24_59months" localSheetId="0">'[1]Nutritional status distribution'!$G$10</definedName>
    <definedName name="frac_mam_24_59months">'Nutritional status distribution'!$G$10</definedName>
    <definedName name="frac_mam_6_11months" localSheetId="0">'[1]Nutritional status distribution'!$E$10</definedName>
    <definedName name="frac_mam_6_11months">'Nutritional status distribution'!$E$10</definedName>
    <definedName name="frac_MAMtoSAM" localSheetId="0">'[1]Baseline year population inputs'!#REF!</definedName>
    <definedName name="frac_MAMtoSAM">'Baseline year population inputs'!#REF!</definedName>
    <definedName name="frac_other_staples">'Baseline year population inputs'!$C$20</definedName>
    <definedName name="frac_PW_health_facility" localSheetId="0">'[1]Baseline year population inputs'!$C$11</definedName>
    <definedName name="frac_PW_health_facility">'Baseline year population inputs'!$C$11</definedName>
    <definedName name="frac_rice" localSheetId="0">'[1]Baseline year population inputs'!$C$17</definedName>
    <definedName name="frac_rice">'Baseline year population inputs'!$C$17</definedName>
    <definedName name="frac_sam_1_5months" localSheetId="0">'[1]Nutritional status distribution'!$D$11</definedName>
    <definedName name="frac_sam_1_5months">'Nutritional status distribution'!$D$11</definedName>
    <definedName name="frac_sam_12_23months" localSheetId="0">'[1]Nutritional status distribution'!$F$11</definedName>
    <definedName name="frac_sam_12_23months">'Nutritional status distribution'!$F$11</definedName>
    <definedName name="frac_sam_1month" localSheetId="0">'[1]Nutritional status distribution'!$C$11</definedName>
    <definedName name="frac_sam_1month">'Nutritional status distribution'!$C$11</definedName>
    <definedName name="frac_sam_24_59months" localSheetId="0">'[1]Nutritional status distribution'!$G$11</definedName>
    <definedName name="frac_sam_24_59months">'Nutritional status distribution'!$G$11</definedName>
    <definedName name="frac_sam_6_11months" localSheetId="0">'[1]Nutritional status distribution'!$E$11</definedName>
    <definedName name="frac_sam_6_11months">'Nutritional status distribution'!$E$11</definedName>
    <definedName name="frac_SAMtoMAM" localSheetId="0">'[1]Baseline year population inputs'!#REF!</definedName>
    <definedName name="frac_SAMtoMAM">'Baseline year population inputs'!#REF!</definedName>
    <definedName name="frac_subsistence_farming">'Baseline year population inputs'!$C$16</definedName>
    <definedName name="frac_wheat" localSheetId="0">'[1]Baseline year population inputs'!$C$18</definedName>
    <definedName name="frac_wheat">'Baseline year population inputs'!$C$18</definedName>
    <definedName name="infant_mortality">'Baseline year population inputs'!$C$38</definedName>
    <definedName name="iron_deficiency_anaemia" localSheetId="0">'[1]Baseline year population inputs'!$C$59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 localSheetId="0">'[1]Baseline year population inputs'!$C$46</definedName>
    <definedName name="preterm_AGA">'Baseline year population inputs'!$C$46</definedName>
    <definedName name="preterm_SGA" localSheetId="0">'[1]Baseline year population inputs'!$C$45</definedName>
    <definedName name="preterm_SGA">'Baseline year population inputs'!$C$45</definedName>
    <definedName name="school_attendance" localSheetId="0">'[1]Baseline year population inputs'!$C$10</definedName>
    <definedName name="school_attendance">'Baseline year population inputs'!$C$10</definedName>
    <definedName name="start_year" localSheetId="0">'[1]Baseline year population inputs'!$C$3</definedName>
    <definedName name="start_year">'Baseline year population inputs'!$C$3</definedName>
    <definedName name="stillbirth" localSheetId="0">'[1]Baseline year population inputs'!$C$42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 localSheetId="0">'[1]Baseline year population inputs'!$C$47</definedName>
    <definedName name="term_SGA">'Baseline year population inputs'!$C$47</definedName>
    <definedName name="U5_mortality">'Baseline year population inputs'!$C$39</definedName>
  </definedNames>
  <calcPr calcId="162913"/>
</workbook>
</file>

<file path=xl/calcChain.xml><?xml version="1.0" encoding="utf-8"?>
<calcChain xmlns="http://schemas.openxmlformats.org/spreadsheetml/2006/main">
  <c r="B1" i="56" l="1"/>
  <c r="C48" i="1"/>
  <c r="C33" i="1"/>
  <c r="D6" i="57" l="1"/>
  <c r="C6" i="57"/>
  <c r="D5" i="57"/>
  <c r="C5" i="57"/>
  <c r="D4" i="57"/>
  <c r="C4" i="57"/>
  <c r="D3" i="57"/>
  <c r="C3" i="57"/>
  <c r="D2" i="57"/>
  <c r="C2" i="57"/>
  <c r="D4" i="56"/>
  <c r="G11" i="21" l="1"/>
  <c r="F11" i="21"/>
  <c r="E11" i="21"/>
  <c r="D11" i="21"/>
  <c r="C11" i="21"/>
  <c r="E7" i="21"/>
  <c r="G7" i="21"/>
  <c r="F7" i="21"/>
  <c r="D7" i="21"/>
  <c r="C7" i="21"/>
  <c r="E20" i="55" l="1"/>
  <c r="E19" i="55"/>
  <c r="E18" i="55"/>
  <c r="E17" i="55"/>
  <c r="E16" i="55"/>
  <c r="E13" i="55" l="1"/>
  <c r="E12" i="55"/>
  <c r="E11" i="55"/>
  <c r="E10" i="55"/>
  <c r="E9" i="55"/>
  <c r="D19" i="56" s="1"/>
  <c r="A1" i="50" l="1"/>
  <c r="A1" i="5"/>
  <c r="A1" i="4"/>
  <c r="D20" i="56" l="1"/>
  <c r="G14" i="2" l="1"/>
  <c r="H14" i="2"/>
  <c r="G15" i="2"/>
  <c r="H15" i="2"/>
  <c r="I15" i="2" l="1"/>
  <c r="I14" i="2"/>
  <c r="I17" i="21"/>
  <c r="J17" i="21"/>
  <c r="K17" i="21"/>
  <c r="H17" i="21"/>
  <c r="K16" i="21"/>
  <c r="J16" i="21"/>
  <c r="I16" i="21"/>
  <c r="H16" i="21"/>
  <c r="E9" i="21" l="1"/>
  <c r="F9" i="21"/>
  <c r="G9" i="21"/>
  <c r="D9" i="21"/>
  <c r="I21" i="21" l="1"/>
  <c r="J21" i="21"/>
  <c r="K21" i="21"/>
  <c r="H21" i="21"/>
  <c r="F6" i="21"/>
  <c r="G6" i="21"/>
  <c r="E6" i="21"/>
  <c r="F5" i="21"/>
  <c r="E5" i="21"/>
  <c r="N26" i="21"/>
  <c r="O26" i="21"/>
  <c r="M26" i="21"/>
  <c r="N25" i="21"/>
  <c r="O25" i="21"/>
  <c r="M25" i="21"/>
  <c r="N24" i="21"/>
  <c r="O24" i="21"/>
  <c r="M24" i="21"/>
  <c r="L27" i="21"/>
  <c r="L26" i="21"/>
  <c r="L24" i="21"/>
  <c r="L25" i="21"/>
  <c r="E2" i="55" l="1"/>
  <c r="E3" i="55"/>
  <c r="E4" i="55"/>
  <c r="E5" i="55"/>
  <c r="E6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D30" i="56" l="1"/>
  <c r="E2" i="54"/>
  <c r="E3" i="54"/>
  <c r="E4" i="54"/>
  <c r="E5" i="54"/>
  <c r="E6" i="54"/>
  <c r="E7" i="54"/>
  <c r="E8" i="54"/>
  <c r="E9" i="54"/>
  <c r="E10" i="54"/>
  <c r="D6" i="56" l="1"/>
  <c r="C33" i="21"/>
  <c r="O29" i="21" l="1"/>
  <c r="N29" i="21"/>
  <c r="M29" i="21"/>
  <c r="L29" i="21"/>
  <c r="K29" i="21"/>
  <c r="J29" i="21"/>
  <c r="I29" i="21"/>
  <c r="H29" i="21"/>
  <c r="G29" i="21"/>
  <c r="F29" i="21"/>
  <c r="E29" i="21"/>
  <c r="O31" i="21"/>
  <c r="N31" i="21"/>
  <c r="M31" i="21"/>
  <c r="L31" i="21"/>
  <c r="K31" i="21"/>
  <c r="J31" i="21"/>
  <c r="I31" i="21"/>
  <c r="H31" i="21"/>
  <c r="G31" i="21"/>
  <c r="F31" i="21"/>
  <c r="E31" i="21"/>
  <c r="O30" i="21"/>
  <c r="N30" i="21"/>
  <c r="M30" i="21"/>
  <c r="L30" i="21"/>
  <c r="K30" i="21"/>
  <c r="J30" i="21"/>
  <c r="I30" i="21"/>
  <c r="H30" i="21"/>
  <c r="G30" i="21"/>
  <c r="F30" i="21"/>
  <c r="E30" i="21"/>
  <c r="K14" i="21"/>
  <c r="J14" i="21"/>
  <c r="I14" i="21"/>
  <c r="H14" i="21"/>
  <c r="G2" i="21"/>
  <c r="F2" i="21"/>
  <c r="E2" i="21"/>
  <c r="D2" i="21"/>
  <c r="O33" i="21"/>
  <c r="N33" i="21"/>
  <c r="M33" i="21"/>
  <c r="L33" i="21"/>
  <c r="K33" i="21"/>
  <c r="J33" i="21"/>
  <c r="I33" i="21"/>
  <c r="H33" i="21"/>
  <c r="G33" i="21"/>
  <c r="F33" i="21"/>
  <c r="E33" i="21"/>
  <c r="D33" i="21"/>
  <c r="K18" i="21"/>
  <c r="J18" i="21"/>
  <c r="I18" i="21"/>
  <c r="H18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H2" i="2"/>
  <c r="H3" i="2"/>
  <c r="H4" i="2"/>
  <c r="H5" i="2"/>
  <c r="H6" i="2"/>
  <c r="H7" i="2"/>
  <c r="H8" i="2"/>
  <c r="H9" i="2"/>
  <c r="H10" i="2"/>
  <c r="H11" i="2"/>
  <c r="H12" i="2"/>
  <c r="H13" i="2"/>
  <c r="G2" i="2" l="1"/>
  <c r="I2" i="2" s="1"/>
  <c r="G3" i="2"/>
  <c r="G4" i="2"/>
  <c r="I4" i="2" s="1"/>
  <c r="G5" i="2"/>
  <c r="I5" i="2" s="1"/>
  <c r="G6" i="2"/>
  <c r="I6" i="2" s="1"/>
  <c r="G7" i="2"/>
  <c r="I7" i="2" s="1"/>
  <c r="G8" i="2"/>
  <c r="I8" i="2" s="1"/>
  <c r="G9" i="2"/>
  <c r="I9" i="2" s="1"/>
  <c r="G10" i="2"/>
  <c r="I10" i="2" s="1"/>
  <c r="G11" i="2"/>
  <c r="G12" i="2"/>
  <c r="I12" i="2" s="1"/>
  <c r="G13" i="2"/>
  <c r="I3" i="2"/>
  <c r="I11" i="2" l="1"/>
  <c r="I13" i="2"/>
</calcChain>
</file>

<file path=xl/comments1.xml><?xml version="1.0" encoding="utf-8"?>
<comments xmlns="http://schemas.openxmlformats.org/spreadsheetml/2006/main">
  <authors>
    <author>davide de beni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davide de beni:</t>
        </r>
        <r>
          <rPr>
            <sz val="9"/>
            <color indexed="81"/>
            <rFont val="Tahoma"/>
            <family val="2"/>
          </rPr>
          <t xml:space="preserve">
Source: LiST (v5.71) - WPP 2017
</t>
        </r>
      </text>
    </comment>
  </commentList>
</comments>
</file>

<file path=xl/comments2.xml><?xml version="1.0" encoding="utf-8"?>
<comments xmlns="http://schemas.openxmlformats.org/spreadsheetml/2006/main">
  <authors>
    <author>Sam</author>
  </authors>
  <commentList>
    <comment ref="B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>
  <authors>
    <author>Sam</author>
  </authors>
  <commentList>
    <comment ref="A1" authorId="0" shapeId="0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<sst xmlns="http://schemas.openxmlformats.org/spreadsheetml/2006/main" count="378" uniqueCount="210">
  <si>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</si>
  <si>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</si>
  <si>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</si>
  <si>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</si>
  <si>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</si>
  <si>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</si>
  <si>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</si>
  <si>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</si>
  <si>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</si>
  <si>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</si>
  <si>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</si>
  <si>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</si>
  <si>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</si>
  <si>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</si>
  <si>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</si>
  <si>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</si>
  <si>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</si>
  <si>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</si>
  <si>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</si>
  <si>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</si>
  <si>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</si>
  <si>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</si>
  <si>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</si>
  <si>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</si>
  <si>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</si>
  <si>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</si>
  <si>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</si>
  <si>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</si>
  <si>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</si>
  <si>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</si>
  <si>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</si>
  <si>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</si>
  <si>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</si>
  <si>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</si>
  <si>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</si>
  <si>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</si>
  <si>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</si>
  <si>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</si>
  <si>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</si>
  <si>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</si>
  <si>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</si>
  <si>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</si>
  <si>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</si>
  <si>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</si>
  <si>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</si>
  <si>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</si>
  <si>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</si>
  <si>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</si>
  <si>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</si>
  <si>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</si>
  <si>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</si>
  <si>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</si>
  <si>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</si>
  <si>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</si>
  <si>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</si>
  <si>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</si>
  <si>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</si>
  <si>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</si>
  <si>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</si>
  <si>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</si>
  <si>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</si>
  <si>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</si>
  <si>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</si>
  <si>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</si>
  <si>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</si>
  <si>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</si>
  <si>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</si>
  <si>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</si>
  <si>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</si>
  <si>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</si>
  <si>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</si>
  <si>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</si>
  <si>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</si>
  <si>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</si>
  <si>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</si>
  <si>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</si>
  <si>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</si>
  <si>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</si>
  <si>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</si>
  <si>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</si>
  <si>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</si>
  <si>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</si>
  <si>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</si>
  <si>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</si>
  <si>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</si>
  <si>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</si>
  <si>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</si>
  <si>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</si>
  <si>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</si>
  <si>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</si>
  <si>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</si>
  <si>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</si>
  <si>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</si>
  <si>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</si>
  <si>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</si>
  <si>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</si>
  <si>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</si>
  <si>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</si>
  <si>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</si>
  <si>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</si>
  <si>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</si>
  <si>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</si>
  <si>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</si>
  <si>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</si>
  <si>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</si>
  <si>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</si>
  <si>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</si>
  <si>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</si>
  <si>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</si>
  <si>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</si>
  <si>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</si>
  <si>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</si>
  <si>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</si>
  <si>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</si>
  <si>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</si>
  <si>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</si>
  <si>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</si>
  <si>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</si>
  <si>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</si>
  <si>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</si>
  <si>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</si>
  <si>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</si>
  <si>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</si>
  <si>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</si>
  <si>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</si>
  <si>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</si>
  <si>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</si>
  <si>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</si>
  <si>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</si>
  <si>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</si>
  <si>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</si>
  <si>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</si>
  <si>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</si>
  <si>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</si>
  <si>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</si>
  <si>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</si>
  <si>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</si>
  <si>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</si>
  <si>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</si>
  <si>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</si>
  <si>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</si>
  <si>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</si>
  <si>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</si>
  <si>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</si>
  <si>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</si>
  <si>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</si>
  <si>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</si>
  <si>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</si>
  <si>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</si>
  <si>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</si>
  <si>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</si>
  <si>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</si>
  <si>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</si>
  <si>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</si>
  <si>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</si>
  <si>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</si>
  <si>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</si>
  <si>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</si>
  <si>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</si>
  <si>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</si>
  <si>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</si>
  <si>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</si>
  <si>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</si>
  <si>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</si>
  <si>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</si>
  <si>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Exclusive</t>
  </si>
  <si>
    <t>Predominant</t>
  </si>
  <si>
    <t>Partial</t>
  </si>
  <si>
    <t>None</t>
  </si>
  <si>
    <t>Maternal (deaths per 1,000 births)</t>
  </si>
  <si>
    <t>All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</si>
  <si>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</si>
  <si>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</si>
  <si>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</si>
  <si>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</si>
  <si>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</si>
  <si>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</si>
  <si>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</si>
  <si>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</si>
  <si>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</si>
  <si>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</si>
  <si>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</si>
  <si>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</si>
  <si>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</si>
  <si>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</si>
  <si>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</si>
  <si>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</si>
  <si>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</si>
  <si>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</si>
  <si>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</si>
  <si>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</si>
  <si>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</si>
  <si>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Unit costs (US$) by delivery modality and target population</t>
  </si>
  <si>
    <t>Kangaroo mother care</t>
  </si>
  <si>
    <t>Birth spacing</t>
  </si>
  <si>
    <t>Family planning</t>
  </si>
  <si>
    <t>IYCF 2</t>
  </si>
  <si>
    <t>IYCF 3</t>
  </si>
  <si>
    <t>Saturation coverage of target population</t>
  </si>
  <si>
    <t>Children under 5 population</t>
  </si>
  <si>
    <t>Data</t>
  </si>
  <si>
    <t>Maternal mortality (per 1,000 live births)</t>
  </si>
  <si>
    <t>Linear (constant marginal cost) [default]</t>
  </si>
  <si>
    <t>Unit cost (US$ per person per year)</t>
  </si>
  <si>
    <t>Cost-coverage relationship</t>
  </si>
  <si>
    <t>IFAS (health facility)</t>
  </si>
  <si>
    <t>IFAS for pregnant women (health facility)</t>
  </si>
  <si>
    <t>Curved with increasing marginal cost</t>
  </si>
  <si>
    <t>Curved with decreasing marginal cost</t>
  </si>
  <si>
    <t>S-shaped (decreasing then increasing marginal cost)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</si>
</sst>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  <numFmt numFmtId="168" formatCode="0.0"/>
  </numFmts>
  <fonts count="30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2"/>
      <color theme="0"/>
      <name val="Calibri"/>
      <family val="2"/>
      <scheme val="minor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0"/>
      <color rgb="FFFF0000"/>
      <name val="Arial"/>
      <family val="2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729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5" fillId="0" borderId="0" applyFont="0" applyFill="0" applyBorder="0" applyAlignment="0" applyProtection="0"/>
    <xf numFmtId="9" fontId="5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5" fillId="0" borderId="0"/>
    <xf numFmtId="0" fontId="2" fillId="0" borderId="0"/>
    <xf numFmtId="0" fontId="1" fillId="0" borderId="0"/>
    <xf numFmtId="9" fontId="1" fillId="0" borderId="0" applyFont="0" applyFill="0" applyBorder="0" applyAlignment="0" applyProtection="0"/>
  </cellStyleXfs>
  <cellXfs count="116">
    <xf numFmtId="0" fontId="0" fillId="0" borderId="0" xfId="0" applyFont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0" fontId="4" fillId="0" borderId="0" xfId="0" applyFont="1" applyAlignment="1"/>
    <xf numFmtId="0" fontId="9" fillId="0" borderId="0" xfId="0" applyFont="1" applyAlignment="1"/>
    <xf numFmtId="0" fontId="0" fillId="0" borderId="0" xfId="0" applyFont="1" applyFill="1" applyAlignment="1"/>
    <xf numFmtId="0" fontId="4" fillId="0" borderId="0" xfId="0" applyFont="1" applyFill="1" applyAlignment="1"/>
    <xf numFmtId="2" fontId="0" fillId="2" borderId="1" xfId="0" applyNumberFormat="1" applyFont="1" applyFill="1" applyBorder="1" applyAlignment="1">
      <alignment horizontal="right"/>
    </xf>
    <xf numFmtId="3" fontId="5" fillId="2" borderId="1" xfId="0" applyNumberFormat="1" applyFont="1" applyFill="1" applyBorder="1" applyAlignment="1">
      <alignment horizontal="center"/>
    </xf>
    <xf numFmtId="0" fontId="4" fillId="0" borderId="0" xfId="0" applyFont="1" applyAlignment="1">
      <alignment horizontal="right"/>
    </xf>
    <xf numFmtId="10" fontId="0" fillId="0" borderId="0" xfId="0" applyNumberFormat="1" applyFont="1" applyAlignment="1"/>
    <xf numFmtId="0" fontId="9" fillId="0" borderId="0" xfId="0" applyFont="1" applyAlignment="1">
      <alignment wrapText="1"/>
    </xf>
    <xf numFmtId="0" fontId="4" fillId="0" borderId="0" xfId="0" applyFont="1" applyFill="1" applyBorder="1" applyAlignment="1">
      <alignment horizontal="right"/>
    </xf>
    <xf numFmtId="0" fontId="11" fillId="0" borderId="0" xfId="0" applyFont="1" applyFill="1" applyAlignment="1">
      <alignment horizontal="center"/>
    </xf>
    <xf numFmtId="0" fontId="4" fillId="0" borderId="0" xfId="0" applyFont="1" applyFill="1" applyAlignment="1">
      <alignment horizontal="right"/>
    </xf>
    <xf numFmtId="0" fontId="5" fillId="0" borderId="0" xfId="0" applyFont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5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2" fillId="0" borderId="0" xfId="0" applyFont="1" applyAlignment="1">
      <alignment horizontal="right"/>
    </xf>
    <xf numFmtId="0" fontId="5" fillId="0" borderId="0" xfId="0" applyFont="1" applyAlignment="1">
      <alignment wrapText="1"/>
    </xf>
    <xf numFmtId="165" fontId="5" fillId="2" borderId="1" xfId="0" applyNumberFormat="1" applyFont="1" applyFill="1" applyBorder="1" applyAlignment="1"/>
    <xf numFmtId="165" fontId="10" fillId="3" borderId="1" xfId="9" applyNumberFormat="1" applyFont="1" applyFill="1" applyBorder="1" applyAlignment="1"/>
    <xf numFmtId="0" fontId="5" fillId="0" borderId="0" xfId="0" applyFont="1" applyAlignment="1">
      <alignment horizontal="right" wrapText="1"/>
    </xf>
    <xf numFmtId="0" fontId="5" fillId="0" borderId="0" xfId="0" applyFont="1" applyAlignment="1">
      <alignment horizontal="right" vertical="center"/>
    </xf>
    <xf numFmtId="1" fontId="10" fillId="3" borderId="1" xfId="9" applyNumberFormat="1" applyFont="1" applyFill="1" applyBorder="1" applyAlignment="1">
      <alignment horizontal="right"/>
    </xf>
    <xf numFmtId="0" fontId="4" fillId="0" borderId="0" xfId="0" applyFont="1" applyAlignment="1">
      <alignment horizontal="right" wrapText="1"/>
    </xf>
    <xf numFmtId="166" fontId="10" fillId="3" borderId="1" xfId="9" applyNumberFormat="1" applyFont="1" applyFill="1" applyBorder="1" applyAlignment="1">
      <alignment horizontal="right"/>
    </xf>
    <xf numFmtId="0" fontId="3" fillId="0" borderId="0" xfId="0" applyFont="1" applyAlignment="1">
      <alignment wrapText="1"/>
    </xf>
    <xf numFmtId="167" fontId="5" fillId="2" borderId="1" xfId="0" applyNumberFormat="1" applyFont="1" applyFill="1" applyBorder="1" applyAlignment="1">
      <alignment horizontal="right"/>
    </xf>
    <xf numFmtId="167" fontId="5" fillId="0" borderId="0" xfId="0" applyNumberFormat="1" applyFont="1" applyAlignment="1"/>
    <xf numFmtId="0" fontId="4" fillId="0" borderId="0" xfId="0" applyFont="1" applyFill="1" applyBorder="1" applyAlignment="1">
      <alignment horizontal="right" vertical="center" wrapText="1"/>
    </xf>
    <xf numFmtId="0" fontId="3" fillId="0" borderId="0" xfId="0" applyFont="1" applyAlignment="1">
      <alignment horizontal="right" wrapText="1"/>
    </xf>
    <xf numFmtId="0" fontId="13" fillId="0" borderId="0" xfId="0" applyFont="1" applyAlignment="1">
      <alignment horizontal="right" vertical="center"/>
    </xf>
    <xf numFmtId="167" fontId="10" fillId="3" borderId="1" xfId="10" applyNumberFormat="1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0" fontId="5" fillId="0" borderId="0" xfId="0" applyFont="1" applyFill="1" applyBorder="1" applyAlignment="1">
      <alignment horizontal="right"/>
    </xf>
    <xf numFmtId="2" fontId="10" fillId="3" borderId="0" xfId="0" applyNumberFormat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5" fillId="0" borderId="0" xfId="725" applyFont="1" applyAlignment="1"/>
    <xf numFmtId="0" fontId="5" fillId="0" borderId="0" xfId="725" applyFont="1" applyFill="1" applyAlignment="1"/>
    <xf numFmtId="0" fontId="5" fillId="0" borderId="0" xfId="725" applyNumberFormat="1" applyFont="1" applyFill="1" applyAlignment="1"/>
    <xf numFmtId="0" fontId="16" fillId="0" borderId="0" xfId="725" applyNumberFormat="1" applyFont="1" applyAlignment="1"/>
    <xf numFmtId="0" fontId="16" fillId="0" borderId="0" xfId="725" applyFont="1" applyAlignment="1"/>
    <xf numFmtId="0" fontId="9" fillId="0" borderId="0" xfId="725" applyFont="1" applyAlignment="1"/>
    <xf numFmtId="0" fontId="17" fillId="0" borderId="0" xfId="0" applyFont="1" applyFill="1" applyAlignment="1">
      <alignment horizontal="right"/>
    </xf>
    <xf numFmtId="0" fontId="5" fillId="0" borderId="0" xfId="0" applyFont="1" applyFill="1" applyAlignment="1">
      <alignment horizontal="right"/>
    </xf>
    <xf numFmtId="0" fontId="4" fillId="0" borderId="0" xfId="725" applyFont="1" applyAlignment="1"/>
    <xf numFmtId="0" fontId="5" fillId="0" borderId="2" xfId="725" applyFont="1" applyBorder="1" applyAlignment="1"/>
    <xf numFmtId="0" fontId="5" fillId="0" borderId="0" xfId="725" applyFont="1" applyBorder="1" applyAlignment="1"/>
    <xf numFmtId="167" fontId="5" fillId="2" borderId="1" xfId="725" applyNumberFormat="1" applyFont="1" applyFill="1" applyBorder="1" applyAlignment="1">
      <alignment horizontal="right" vertical="center"/>
    </xf>
    <xf numFmtId="0" fontId="9" fillId="0" borderId="6" xfId="725" applyFont="1" applyBorder="1" applyAlignment="1"/>
    <xf numFmtId="0" fontId="9" fillId="0" borderId="5" xfId="725" applyFont="1" applyBorder="1" applyAlignment="1"/>
    <xf numFmtId="0" fontId="9" fillId="0" borderId="1" xfId="725" applyFont="1" applyBorder="1" applyAlignment="1"/>
    <xf numFmtId="0" fontId="4" fillId="0" borderId="0" xfId="726" applyFont="1" applyFill="1" applyAlignment="1">
      <alignment horizontal="right"/>
    </xf>
    <xf numFmtId="9" fontId="4" fillId="2" borderId="1" xfId="725" applyNumberFormat="1" applyFont="1" applyFill="1" applyBorder="1" applyAlignment="1"/>
    <xf numFmtId="2" fontId="4" fillId="2" borderId="1" xfId="725" applyNumberFormat="1" applyFont="1" applyFill="1" applyBorder="1" applyAlignment="1"/>
    <xf numFmtId="0" fontId="3" fillId="0" borderId="0" xfId="725" applyFont="1" applyAlignment="1">
      <alignment wrapText="1"/>
    </xf>
    <xf numFmtId="0" fontId="3" fillId="0" borderId="0" xfId="725" applyFont="1" applyFill="1" applyAlignment="1"/>
    <xf numFmtId="0" fontId="2" fillId="0" borderId="0" xfId="726"/>
    <xf numFmtId="2" fontId="2" fillId="0" borderId="0" xfId="726" applyNumberFormat="1"/>
    <xf numFmtId="0" fontId="2" fillId="0" borderId="0" xfId="726" applyFont="1" applyAlignment="1"/>
    <xf numFmtId="0" fontId="18" fillId="0" borderId="0" xfId="726" applyFont="1"/>
    <xf numFmtId="0" fontId="9" fillId="0" borderId="0" xfId="726" applyFont="1" applyAlignment="1"/>
    <xf numFmtId="0" fontId="9" fillId="0" borderId="0" xfId="726" applyFont="1" applyAlignment="1">
      <alignment wrapText="1"/>
    </xf>
    <xf numFmtId="0" fontId="9" fillId="0" borderId="0" xfId="0" applyFont="1" applyFill="1" applyAlignment="1"/>
    <xf numFmtId="0" fontId="5" fillId="0" borderId="0" xfId="725" applyFont="1" applyFill="1" applyAlignment="1">
      <alignment horizontal="right"/>
    </xf>
    <xf numFmtId="0" fontId="22" fillId="0" borderId="0" xfId="0" applyFont="1" applyFill="1" applyAlignment="1"/>
    <xf numFmtId="0" fontId="9" fillId="0" borderId="2" xfId="725" applyFont="1" applyBorder="1" applyAlignment="1"/>
    <xf numFmtId="0" fontId="5" fillId="2" borderId="1" xfId="10" applyNumberFormat="1" applyFont="1" applyFill="1" applyBorder="1" applyAlignment="1">
      <alignment horizontal="right"/>
    </xf>
    <xf numFmtId="0" fontId="5" fillId="2" borderId="1" xfId="10" applyNumberFormat="1" applyFont="1" applyFill="1" applyBorder="1" applyAlignment="1"/>
    <xf numFmtId="0" fontId="5" fillId="2" borderId="1" xfId="725" applyNumberFormat="1" applyFont="1" applyFill="1" applyBorder="1" applyAlignment="1">
      <alignment horizontal="right" vertical="center"/>
    </xf>
    <xf numFmtId="0" fontId="21" fillId="3" borderId="4" xfId="725" applyNumberFormat="1" applyFont="1" applyFill="1" applyBorder="1" applyAlignment="1"/>
    <xf numFmtId="0" fontId="5" fillId="3" borderId="3" xfId="725" applyNumberFormat="1" applyFont="1" applyFill="1" applyBorder="1" applyAlignment="1"/>
    <xf numFmtId="0" fontId="5" fillId="3" borderId="2" xfId="725" applyNumberFormat="1" applyFont="1" applyFill="1" applyBorder="1" applyAlignment="1"/>
    <xf numFmtId="0" fontId="5" fillId="0" borderId="0" xfId="725" applyNumberFormat="1" applyFont="1" applyAlignment="1"/>
    <xf numFmtId="165" fontId="5" fillId="2" borderId="1" xfId="9" applyNumberFormat="1" applyFont="1" applyFill="1" applyBorder="1" applyAlignment="1">
      <alignment horizontal="center"/>
    </xf>
    <xf numFmtId="165" fontId="5" fillId="2" borderId="1" xfId="9" applyNumberFormat="1" applyFont="1" applyFill="1" applyBorder="1" applyAlignment="1"/>
    <xf numFmtId="10" fontId="4" fillId="2" borderId="1" xfId="10" applyNumberFormat="1" applyFont="1" applyFill="1" applyBorder="1" applyAlignment="1">
      <alignment horizontal="right"/>
    </xf>
    <xf numFmtId="10" fontId="5" fillId="2" borderId="2" xfId="1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 wrapText="1"/>
    </xf>
    <xf numFmtId="0" fontId="3" fillId="4" borderId="0" xfId="726" applyFont="1" applyFill="1" applyAlignment="1">
      <alignment horizontal="right"/>
    </xf>
    <xf numFmtId="0" fontId="3" fillId="4" borderId="0" xfId="0" applyFont="1" applyFill="1" applyAlignment="1">
      <alignment horizontal="right"/>
    </xf>
    <xf numFmtId="0" fontId="25" fillId="0" borderId="0" xfId="727" applyFont="1" applyFill="1"/>
    <xf numFmtId="0" fontId="26" fillId="0" borderId="0" xfId="727" applyFont="1" applyFill="1"/>
    <xf numFmtId="0" fontId="0" fillId="0" borderId="0" xfId="0"/>
    <xf numFmtId="0" fontId="27" fillId="0" borderId="0" xfId="0" applyFont="1"/>
    <xf numFmtId="168" fontId="5" fillId="0" borderId="0" xfId="0" applyNumberFormat="1" applyFont="1" applyAlignment="1"/>
    <xf numFmtId="167" fontId="0" fillId="0" borderId="0" xfId="0" applyNumberFormat="1"/>
    <xf numFmtId="167" fontId="0" fillId="0" borderId="0" xfId="0" applyNumberFormat="1" applyFont="1" applyAlignment="1"/>
    <xf numFmtId="167" fontId="5" fillId="0" borderId="0" xfId="10" applyNumberFormat="1" applyFont="1" applyAlignment="1"/>
    <xf numFmtId="0" fontId="28" fillId="0" borderId="0" xfId="0" applyFont="1" applyAlignment="1"/>
    <xf numFmtId="2" fontId="10" fillId="2" borderId="1" xfId="725" applyNumberFormat="1" applyFont="1" applyFill="1" applyBorder="1" applyAlignment="1"/>
    <xf numFmtId="0" fontId="10" fillId="2" borderId="1" xfId="725" applyFont="1" applyFill="1" applyBorder="1" applyAlignment="1"/>
    <xf numFmtId="2" fontId="10" fillId="2" borderId="1" xfId="725" quotePrefix="1" applyNumberFormat="1" applyFont="1" applyFill="1" applyBorder="1" applyAlignment="1"/>
    <xf numFmtId="168" fontId="5" fillId="0" borderId="0" xfId="0" applyNumberFormat="1" applyFont="1" applyFill="1" applyBorder="1" applyAlignment="1"/>
    <xf numFmtId="0" fontId="27" fillId="0" borderId="0" xfId="0" applyFont="1" applyFill="1" applyBorder="1"/>
    <xf numFmtId="0" fontId="5" fillId="0" borderId="0" xfId="0" applyFont="1" applyFill="1" applyBorder="1" applyAlignment="1">
      <alignment vertical="center" wrapText="1"/>
    </xf>
    <xf numFmtId="0" fontId="5" fillId="0" borderId="0" xfId="0" applyFont="1" applyFill="1" applyBorder="1" applyAlignment="1">
      <alignment vertical="center"/>
    </xf>
    <xf numFmtId="0" fontId="5" fillId="0" borderId="0" xfId="0" applyFont="1" applyFill="1" applyBorder="1" applyAlignment="1"/>
    <xf numFmtId="167" fontId="0" fillId="2" borderId="1" xfId="10" applyNumberFormat="1" applyFont="1" applyFill="1" applyBorder="1"/>
    <xf numFmtId="167" fontId="5" fillId="2" borderId="1" xfId="10" applyNumberFormat="1" applyFont="1" applyFill="1" applyBorder="1" applyAlignment="1"/>
    <xf numFmtId="167" fontId="0" fillId="2" borderId="1" xfId="10" applyNumberFormat="1" applyFont="1" applyFill="1" applyBorder="1" applyAlignment="1"/>
    <xf numFmtId="168" fontId="5" fillId="2" borderId="1" xfId="0" applyNumberFormat="1" applyFont="1" applyFill="1" applyBorder="1" applyAlignment="1"/>
    <xf numFmtId="0" fontId="5" fillId="0" borderId="0" xfId="0" applyNumberFormat="1" applyFont="1" applyAlignment="1"/>
    <xf numFmtId="167" fontId="1" fillId="2" borderId="1" xfId="10" applyNumberFormat="1" applyFont="1" applyFill="1" applyBorder="1"/>
    <xf numFmtId="167" fontId="5" fillId="2" borderId="1" xfId="10" applyNumberFormat="1" applyFont="1" applyFill="1" applyBorder="1" applyAlignment="1">
      <alignment horizontal="right"/>
    </xf>
    <xf numFmtId="167" fontId="29" fillId="2" borderId="1" xfId="10" applyNumberFormat="1" applyFont="1" applyFill="1" applyBorder="1"/>
    <xf numFmtId="10" fontId="0" fillId="2" borderId="1" xfId="10" applyNumberFormat="1" applyFont="1" applyFill="1" applyBorder="1"/>
    <xf numFmtId="167" fontId="0" fillId="2" borderId="1" xfId="0" applyNumberFormat="1" applyFill="1" applyBorder="1"/>
    <xf numFmtId="0" fontId="3" fillId="0" borderId="0" xfId="0" applyFont="1" applyFill="1" applyAlignment="1">
      <alignment horizontal="right"/>
    </xf>
    <xf numFmtId="9" fontId="10" fillId="3" borderId="1" xfId="10" applyFont="1" applyFill="1" applyBorder="1" applyAlignment="1">
      <alignment horizontal="right"/>
    </xf>
    <xf numFmtId="9" fontId="10" fillId="3" borderId="1" xfId="10" applyFont="1" applyFill="1" applyBorder="1" applyAlignment="1"/>
    <xf numFmtId="9" fontId="5" fillId="2" borderId="1" xfId="725" applyNumberFormat="1" applyFont="1" applyFill="1" applyBorder="1" applyAlignment="1"/>
    <xf numFmtId="0" fontId="3" fillId="0" borderId="0" xfId="725" applyFont="1" applyFill="1" applyAlignment="1">
      <alignment wrapText="1"/>
    </xf>
  </cellXfs>
  <cellStyles count="729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Normal" xfId="0" builtinId="0"/>
    <cellStyle name="Normal 2" xfId="725"/>
    <cellStyle name="Normal 3" xfId="726"/>
    <cellStyle name="Normal 4" xfId="727"/>
    <cellStyle name="Percent" xfId="10" builtinId="5"/>
    <cellStyle name="Percent 2" xfId="728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CCFFCC"/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15</xdr:row>
      <xdr:rowOff>0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15</xdr:row>
      <xdr:rowOff>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Optima/Optima%20Nutrition/Applications/DRC/Provincial%20projections/MACRO_demo_inpu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CRO"/>
      <sheetName val="Baseline year population inputs"/>
      <sheetName val="Demographic projections"/>
      <sheetName val="Causes of death"/>
      <sheetName val="Nutritional status distribution"/>
      <sheetName val="Breastfeeding distribution"/>
      <sheetName val="Time trends"/>
      <sheetName val="IYCF packages"/>
      <sheetName val="Treatment of SAM"/>
      <sheetName val="Programs cost and coverage"/>
      <sheetName val="IYCF cost"/>
      <sheetName val="Program dependencies"/>
      <sheetName val="Reference programs"/>
      <sheetName val="Incidence of conditions"/>
      <sheetName val="Programs target population"/>
      <sheetName val="Cost curve options"/>
      <sheetName val="Programs family planning"/>
    </sheetNames>
    <sheetDataSet>
      <sheetData sheetId="0"/>
      <sheetData sheetId="1">
        <row r="3">
          <cell r="C3">
            <v>2017</v>
          </cell>
        </row>
        <row r="4">
          <cell r="C4">
            <v>2030</v>
          </cell>
        </row>
        <row r="8">
          <cell r="C8">
            <v>0.28199999999999997</v>
          </cell>
        </row>
        <row r="9">
          <cell r="C9">
            <v>1</v>
          </cell>
        </row>
        <row r="10">
          <cell r="C10">
            <v>0.23</v>
          </cell>
        </row>
        <row r="11">
          <cell r="C11">
            <v>0.51</v>
          </cell>
        </row>
        <row r="12">
          <cell r="C12">
            <v>0.37</v>
          </cell>
        </row>
        <row r="13">
          <cell r="C13">
            <v>0.221</v>
          </cell>
        </row>
        <row r="17">
          <cell r="C17">
            <v>0.1</v>
          </cell>
        </row>
        <row r="18">
          <cell r="C18">
            <v>0.1</v>
          </cell>
        </row>
        <row r="19">
          <cell r="C19">
            <v>0.8</v>
          </cell>
        </row>
        <row r="41">
          <cell r="C41">
            <v>0.13</v>
          </cell>
        </row>
        <row r="42">
          <cell r="C42">
            <v>22.4</v>
          </cell>
        </row>
        <row r="45">
          <cell r="C45">
            <v>3.1E-2</v>
          </cell>
        </row>
        <row r="46">
          <cell r="C46">
            <v>0.109</v>
          </cell>
        </row>
        <row r="47">
          <cell r="C47">
            <v>0.36499999999999999</v>
          </cell>
        </row>
        <row r="51">
          <cell r="C51">
            <v>1.66</v>
          </cell>
        </row>
        <row r="52">
          <cell r="C52">
            <v>1.66</v>
          </cell>
        </row>
        <row r="53">
          <cell r="C53">
            <v>5.64</v>
          </cell>
        </row>
        <row r="54">
          <cell r="C54">
            <v>5.43</v>
          </cell>
        </row>
        <row r="55">
          <cell r="C55">
            <v>1.91</v>
          </cell>
        </row>
        <row r="59">
          <cell r="C59">
            <v>0.42</v>
          </cell>
        </row>
      </sheetData>
      <sheetData sheetId="2"/>
      <sheetData sheetId="3"/>
      <sheetData sheetId="4">
        <row r="10">
          <cell r="C10">
            <v>5.3999999999999999E-2</v>
          </cell>
          <cell r="D10">
            <v>5.3999999999999999E-2</v>
          </cell>
          <cell r="E10">
            <v>5.4022564102564105E-2</v>
          </cell>
          <cell r="F10">
            <v>4.2547708138447146E-2</v>
          </cell>
          <cell r="G10">
            <v>2.2330660624019519E-2</v>
          </cell>
        </row>
        <row r="11">
          <cell r="C11">
            <v>0.04</v>
          </cell>
          <cell r="D11">
            <v>0.04</v>
          </cell>
          <cell r="E11">
            <v>1.5725128205128207E-2</v>
          </cell>
          <cell r="F11">
            <v>1.0095416276894293E-2</v>
          </cell>
          <cell r="G11">
            <v>7.3344953808610778E-3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4"/>
  <sheetViews>
    <sheetView workbookViewId="0">
      <selection activeCell="D24" sqref="D24"/>
    </sheetView>
  </sheetViews>
  <sheetFormatPr defaultColWidth="11.44140625" defaultRowHeight="13.2" x14ac:dyDescent="0.25"/>
  <cols>
    <col min="1" max="16384" width="11.44140625" style="40"/>
  </cols>
  <sheetData>
    <row r="1" spans="1:1" x14ac:dyDescent="0.25">
      <c r="A1" s="40" t="s">
        <v>202</v>
      </c>
    </row>
    <row r="2" spans="1:1" x14ac:dyDescent="0.25">
      <c r="A2" s="40" t="s">
        <v>207</v>
      </c>
    </row>
    <row r="3" spans="1:1" x14ac:dyDescent="0.25">
      <c r="A3" s="40" t="s">
        <v>208</v>
      </c>
    </row>
    <row r="4" spans="1:1" x14ac:dyDescent="0.25">
      <c r="A4" s="40" t="s">
        <v>209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theme="7" tint="-0.249977111117893"/>
  </sheetPr>
  <dimension ref="A1:E38"/>
  <sheetViews>
    <sheetView zoomScale="107" zoomScaleNormal="60" workbookViewId="0">
      <selection activeCell="E2" sqref="E2:E38"/>
    </sheetView>
  </sheetViews>
  <sheetFormatPr defaultColWidth="14.33203125" defaultRowHeight="15.75" customHeight="1" x14ac:dyDescent="0.25"/>
  <cols>
    <col min="1" max="1" width="56" style="55" customWidth="1"/>
    <col min="2" max="2" width="14.33203125" style="40"/>
    <col min="3" max="3" width="20.33203125" style="40" customWidth="1"/>
    <col min="4" max="4" width="20.109375" style="40" customWidth="1"/>
    <col min="5" max="5" width="12.109375" style="40" customWidth="1"/>
    <col min="6" max="16384" width="14.33203125" style="40"/>
  </cols>
  <sheetData>
    <row r="1" spans="1:5" ht="56.7" customHeight="1" x14ac:dyDescent="0.25">
      <c r="A1" s="59" t="s">
        <v>69</v>
      </c>
      <c r="B1" s="115" t="str">
        <f>"Baseline ("&amp;start_year&amp;") coverage"</f>
        <v>Baseline (2017) coverage</v>
      </c>
      <c r="C1" s="58" t="s">
        <v>198</v>
      </c>
      <c r="D1" s="58" t="s">
        <v>203</v>
      </c>
      <c r="E1" s="58" t="s">
        <v>204</v>
      </c>
    </row>
    <row r="2" spans="1:5" ht="15.75" customHeight="1" x14ac:dyDescent="0.25">
      <c r="A2" s="55" t="s">
        <v>29</v>
      </c>
      <c r="B2" s="114">
        <v>0</v>
      </c>
      <c r="C2" s="56">
        <v>0.95</v>
      </c>
      <c r="D2" s="57">
        <v>25</v>
      </c>
      <c r="E2" s="57" t="s">
        <v>202</v>
      </c>
    </row>
    <row r="3" spans="1:5" ht="15.75" customHeight="1" x14ac:dyDescent="0.25">
      <c r="A3" s="55" t="s">
        <v>86</v>
      </c>
      <c r="B3" s="114">
        <v>0</v>
      </c>
      <c r="C3" s="56">
        <v>0.95</v>
      </c>
      <c r="D3" s="57">
        <v>1</v>
      </c>
      <c r="E3" s="57" t="s">
        <v>202</v>
      </c>
    </row>
    <row r="4" spans="1:5" ht="15.75" customHeight="1" x14ac:dyDescent="0.25">
      <c r="A4" s="55" t="s">
        <v>61</v>
      </c>
      <c r="B4" s="114">
        <v>0</v>
      </c>
      <c r="C4" s="56">
        <v>0.95</v>
      </c>
      <c r="D4" s="57">
        <f>180</f>
        <v>180</v>
      </c>
      <c r="E4" s="57" t="s">
        <v>202</v>
      </c>
    </row>
    <row r="5" spans="1:5" ht="15.75" customHeight="1" x14ac:dyDescent="0.25">
      <c r="A5" s="55" t="s">
        <v>149</v>
      </c>
      <c r="B5" s="56">
        <v>0</v>
      </c>
      <c r="C5" s="56">
        <v>0.95</v>
      </c>
      <c r="D5" s="57">
        <v>1</v>
      </c>
      <c r="E5" s="57" t="s">
        <v>202</v>
      </c>
    </row>
    <row r="6" spans="1:5" ht="15.75" customHeight="1" x14ac:dyDescent="0.25">
      <c r="A6" s="82" t="s">
        <v>195</v>
      </c>
      <c r="B6" s="101">
        <v>0.18600000000000003</v>
      </c>
      <c r="C6" s="56">
        <v>0.95</v>
      </c>
      <c r="D6" s="93">
        <f>SUM('Programs family planning'!E2:E10)</f>
        <v>0.82100000000000006</v>
      </c>
      <c r="E6" s="57" t="s">
        <v>202</v>
      </c>
    </row>
    <row r="7" spans="1:5" ht="15.75" customHeight="1" x14ac:dyDescent="0.25">
      <c r="A7" s="55" t="s">
        <v>63</v>
      </c>
      <c r="B7" s="114">
        <v>0</v>
      </c>
      <c r="C7" s="56">
        <v>0.95</v>
      </c>
      <c r="D7" s="57">
        <v>0.82</v>
      </c>
      <c r="E7" s="57" t="s">
        <v>202</v>
      </c>
    </row>
    <row r="8" spans="1:5" ht="15.75" customHeight="1" x14ac:dyDescent="0.25">
      <c r="A8" s="55" t="s">
        <v>64</v>
      </c>
      <c r="B8" s="56">
        <v>0</v>
      </c>
      <c r="C8" s="56">
        <v>0.95</v>
      </c>
      <c r="D8" s="57">
        <v>0.75</v>
      </c>
      <c r="E8" s="57" t="s">
        <v>202</v>
      </c>
    </row>
    <row r="9" spans="1:5" ht="15.75" customHeight="1" x14ac:dyDescent="0.25">
      <c r="A9" s="55" t="s">
        <v>62</v>
      </c>
      <c r="B9" s="56">
        <v>0</v>
      </c>
      <c r="C9" s="56">
        <v>0.95</v>
      </c>
      <c r="D9" s="57">
        <v>0.19</v>
      </c>
      <c r="E9" s="57" t="s">
        <v>202</v>
      </c>
    </row>
    <row r="10" spans="1:5" ht="15.75" customHeight="1" x14ac:dyDescent="0.25">
      <c r="A10" s="67" t="s">
        <v>186</v>
      </c>
      <c r="B10" s="114">
        <v>0</v>
      </c>
      <c r="C10" s="56">
        <v>0.95</v>
      </c>
      <c r="D10" s="57">
        <v>0.73</v>
      </c>
      <c r="E10" s="57" t="s">
        <v>202</v>
      </c>
    </row>
    <row r="11" spans="1:5" ht="15.75" customHeight="1" x14ac:dyDescent="0.25">
      <c r="A11" s="67" t="s">
        <v>205</v>
      </c>
      <c r="B11" s="114">
        <v>0</v>
      </c>
      <c r="C11" s="56">
        <v>0.95</v>
      </c>
      <c r="D11" s="57">
        <v>1.78</v>
      </c>
      <c r="E11" s="57" t="s">
        <v>202</v>
      </c>
    </row>
    <row r="12" spans="1:5" ht="15.75" customHeight="1" x14ac:dyDescent="0.25">
      <c r="A12" s="67" t="s">
        <v>187</v>
      </c>
      <c r="B12" s="114">
        <v>0</v>
      </c>
      <c r="C12" s="56">
        <v>0.95</v>
      </c>
      <c r="D12" s="57">
        <v>0.24</v>
      </c>
      <c r="E12" s="57" t="s">
        <v>202</v>
      </c>
    </row>
    <row r="13" spans="1:5" ht="15.75" customHeight="1" x14ac:dyDescent="0.25">
      <c r="A13" s="67" t="s">
        <v>188</v>
      </c>
      <c r="B13" s="114">
        <v>0</v>
      </c>
      <c r="C13" s="56">
        <v>0.95</v>
      </c>
      <c r="D13" s="57">
        <v>0.55000000000000004</v>
      </c>
      <c r="E13" s="57" t="s">
        <v>202</v>
      </c>
    </row>
    <row r="14" spans="1:5" ht="15.75" customHeight="1" x14ac:dyDescent="0.25">
      <c r="A14" s="14" t="s">
        <v>185</v>
      </c>
      <c r="B14" s="114">
        <v>0</v>
      </c>
      <c r="C14" s="56">
        <v>0.95</v>
      </c>
      <c r="D14" s="57">
        <v>0.73</v>
      </c>
      <c r="E14" s="57" t="s">
        <v>202</v>
      </c>
    </row>
    <row r="15" spans="1:5" ht="15.75" customHeight="1" x14ac:dyDescent="0.25">
      <c r="A15" s="83" t="s">
        <v>206</v>
      </c>
      <c r="B15" s="101">
        <v>0.43700000000000006</v>
      </c>
      <c r="C15" s="56">
        <v>0.95</v>
      </c>
      <c r="D15" s="57">
        <v>2</v>
      </c>
      <c r="E15" s="57" t="s">
        <v>202</v>
      </c>
    </row>
    <row r="16" spans="1:5" ht="15.75" customHeight="1" x14ac:dyDescent="0.25">
      <c r="A16" s="82" t="s">
        <v>57</v>
      </c>
      <c r="B16" s="101">
        <v>0.29299999999999998</v>
      </c>
      <c r="C16" s="56">
        <v>0.95</v>
      </c>
      <c r="D16" s="57">
        <v>2.1800000000000002</v>
      </c>
      <c r="E16" s="57" t="s">
        <v>202</v>
      </c>
    </row>
    <row r="17" spans="1:5" ht="15.75" customHeight="1" x14ac:dyDescent="0.25">
      <c r="A17" s="55" t="s">
        <v>47</v>
      </c>
      <c r="B17" s="114">
        <v>0</v>
      </c>
      <c r="C17" s="56">
        <v>0.95</v>
      </c>
      <c r="D17" s="57">
        <v>0.05</v>
      </c>
      <c r="E17" s="57" t="s">
        <v>202</v>
      </c>
    </row>
    <row r="18" spans="1:5" ht="16.05" customHeight="1" x14ac:dyDescent="0.25">
      <c r="A18" s="55" t="s">
        <v>171</v>
      </c>
      <c r="B18" s="114">
        <v>0</v>
      </c>
      <c r="C18" s="56">
        <v>0.95</v>
      </c>
      <c r="D18" s="94">
        <v>5</v>
      </c>
      <c r="E18" s="57" t="s">
        <v>202</v>
      </c>
    </row>
    <row r="19" spans="1:5" ht="15.75" customHeight="1" x14ac:dyDescent="0.25">
      <c r="A19" s="55" t="s">
        <v>196</v>
      </c>
      <c r="B19" s="114">
        <v>0</v>
      </c>
      <c r="C19" s="56">
        <v>0.95</v>
      </c>
      <c r="D19" s="94">
        <f>SUMPRODUCT(('IYCF cost'!$C$2:$E$6)*('IYCF packages'!$C$9:$E$13&lt;&gt;""))</f>
        <v>4.8250000000000002</v>
      </c>
      <c r="E19" s="57" t="s">
        <v>202</v>
      </c>
    </row>
    <row r="20" spans="1:5" ht="15.75" customHeight="1" x14ac:dyDescent="0.25">
      <c r="A20" s="55" t="s">
        <v>197</v>
      </c>
      <c r="B20" s="114">
        <v>0</v>
      </c>
      <c r="C20" s="56">
        <v>0.95</v>
      </c>
      <c r="D20" s="94">
        <f>SUMPRODUCT(('IYCF cost'!$C$2:$E$6)*('IYCF packages'!$C$16:$E$20&lt;&gt;""))</f>
        <v>0.25</v>
      </c>
      <c r="E20" s="57" t="s">
        <v>202</v>
      </c>
    </row>
    <row r="21" spans="1:5" ht="15.75" customHeight="1" x14ac:dyDescent="0.25">
      <c r="A21" s="55" t="s">
        <v>193</v>
      </c>
      <c r="B21" s="114">
        <v>0</v>
      </c>
      <c r="C21" s="56">
        <v>0.95</v>
      </c>
      <c r="D21" s="57">
        <v>8.84</v>
      </c>
      <c r="E21" s="57" t="s">
        <v>202</v>
      </c>
    </row>
    <row r="22" spans="1:5" ht="15.75" customHeight="1" x14ac:dyDescent="0.25">
      <c r="A22" s="55" t="s">
        <v>136</v>
      </c>
      <c r="B22" s="114">
        <v>0</v>
      </c>
      <c r="C22" s="56">
        <v>0.95</v>
      </c>
      <c r="D22" s="57">
        <v>50</v>
      </c>
      <c r="E22" s="57" t="s">
        <v>202</v>
      </c>
    </row>
    <row r="23" spans="1:5" ht="15.75" customHeight="1" x14ac:dyDescent="0.25">
      <c r="A23" s="55" t="s">
        <v>34</v>
      </c>
      <c r="B23" s="114">
        <v>0</v>
      </c>
      <c r="C23" s="56">
        <v>0.95</v>
      </c>
      <c r="D23" s="57">
        <v>2.61</v>
      </c>
      <c r="E23" s="57" t="s">
        <v>202</v>
      </c>
    </row>
    <row r="24" spans="1:5" ht="15.75" customHeight="1" x14ac:dyDescent="0.25">
      <c r="A24" s="55" t="s">
        <v>88</v>
      </c>
      <c r="B24" s="114">
        <v>0</v>
      </c>
      <c r="C24" s="56">
        <v>0.95</v>
      </c>
      <c r="D24" s="57">
        <v>1</v>
      </c>
      <c r="E24" s="57" t="s">
        <v>202</v>
      </c>
    </row>
    <row r="25" spans="1:5" ht="15.75" customHeight="1" x14ac:dyDescent="0.25">
      <c r="A25" s="55" t="s">
        <v>87</v>
      </c>
      <c r="B25" s="114">
        <v>0</v>
      </c>
      <c r="C25" s="56">
        <v>0.95</v>
      </c>
      <c r="D25" s="57">
        <v>1</v>
      </c>
      <c r="E25" s="57" t="s">
        <v>202</v>
      </c>
    </row>
    <row r="26" spans="1:5" ht="15.75" customHeight="1" x14ac:dyDescent="0.25">
      <c r="A26" s="55" t="s">
        <v>137</v>
      </c>
      <c r="B26" s="114">
        <v>0</v>
      </c>
      <c r="C26" s="56">
        <v>0.95</v>
      </c>
      <c r="D26" s="57">
        <v>1</v>
      </c>
      <c r="E26" s="57" t="s">
        <v>202</v>
      </c>
    </row>
    <row r="27" spans="1:5" ht="15.75" customHeight="1" x14ac:dyDescent="0.25">
      <c r="A27" s="82" t="s">
        <v>59</v>
      </c>
      <c r="B27" s="114">
        <v>0</v>
      </c>
      <c r="C27" s="56">
        <v>0.95</v>
      </c>
      <c r="D27" s="57">
        <v>3.54</v>
      </c>
      <c r="E27" s="57" t="s">
        <v>202</v>
      </c>
    </row>
    <row r="28" spans="1:5" ht="15.75" customHeight="1" x14ac:dyDescent="0.25">
      <c r="A28" s="82" t="s">
        <v>84</v>
      </c>
      <c r="B28" s="101">
        <v>0.24</v>
      </c>
      <c r="C28" s="56">
        <v>0.95</v>
      </c>
      <c r="D28" s="57">
        <v>1</v>
      </c>
      <c r="E28" s="57" t="s">
        <v>202</v>
      </c>
    </row>
    <row r="29" spans="1:5" ht="15.75" customHeight="1" x14ac:dyDescent="0.25">
      <c r="A29" s="55" t="s">
        <v>58</v>
      </c>
      <c r="B29" s="114">
        <v>0</v>
      </c>
      <c r="C29" s="56">
        <v>0.95</v>
      </c>
      <c r="D29" s="57">
        <v>40.25</v>
      </c>
      <c r="E29" s="57" t="s">
        <v>202</v>
      </c>
    </row>
    <row r="30" spans="1:5" ht="15.75" customHeight="1" x14ac:dyDescent="0.25">
      <c r="A30" s="55" t="s">
        <v>67</v>
      </c>
      <c r="B30" s="114">
        <v>0</v>
      </c>
      <c r="C30" s="56">
        <v>0.95</v>
      </c>
      <c r="D30" s="95">
        <f>162*AVERAGE('Incidence of conditions'!B4:F4) + 0*AVERAGE('Incidence of conditions'!B3:F3)*IF(ISBLANK(manage_mam), 0, 1)</f>
        <v>3.20819616</v>
      </c>
      <c r="E30" s="57" t="s">
        <v>202</v>
      </c>
    </row>
    <row r="31" spans="1:5" ht="15.75" customHeight="1" x14ac:dyDescent="0.25">
      <c r="A31" s="82" t="s">
        <v>28</v>
      </c>
      <c r="B31" s="101">
        <v>0.435</v>
      </c>
      <c r="C31" s="56">
        <v>0.95</v>
      </c>
      <c r="D31" s="57">
        <v>0.55000000000000004</v>
      </c>
      <c r="E31" s="57" t="s">
        <v>202</v>
      </c>
    </row>
    <row r="32" spans="1:5" ht="15.75" customHeight="1" x14ac:dyDescent="0.25">
      <c r="A32" s="55" t="s">
        <v>83</v>
      </c>
      <c r="B32" s="114">
        <v>0</v>
      </c>
      <c r="C32" s="56">
        <v>0.95</v>
      </c>
      <c r="D32" s="57">
        <v>1</v>
      </c>
      <c r="E32" s="57" t="s">
        <v>202</v>
      </c>
    </row>
    <row r="33" spans="1:5" ht="15.75" customHeight="1" x14ac:dyDescent="0.25">
      <c r="A33" s="55" t="s">
        <v>82</v>
      </c>
      <c r="B33" s="114">
        <v>0</v>
      </c>
      <c r="C33" s="56">
        <v>0.95</v>
      </c>
      <c r="D33" s="57">
        <v>2.8</v>
      </c>
      <c r="E33" s="57" t="s">
        <v>202</v>
      </c>
    </row>
    <row r="34" spans="1:5" ht="15.75" customHeight="1" x14ac:dyDescent="0.25">
      <c r="A34" s="55" t="s">
        <v>81</v>
      </c>
      <c r="B34" s="114">
        <v>0</v>
      </c>
      <c r="C34" s="56">
        <v>0.95</v>
      </c>
      <c r="D34" s="57">
        <v>50.26</v>
      </c>
      <c r="E34" s="57" t="s">
        <v>202</v>
      </c>
    </row>
    <row r="35" spans="1:5" ht="15.75" customHeight="1" x14ac:dyDescent="0.25">
      <c r="A35" s="55" t="s">
        <v>79</v>
      </c>
      <c r="B35" s="114">
        <v>0</v>
      </c>
      <c r="C35" s="56">
        <v>0.95</v>
      </c>
      <c r="D35" s="57">
        <v>36.1</v>
      </c>
      <c r="E35" s="57" t="s">
        <v>202</v>
      </c>
    </row>
    <row r="36" spans="1:5" s="41" customFormat="1" ht="15.75" customHeight="1" x14ac:dyDescent="0.25">
      <c r="A36" s="55" t="s">
        <v>80</v>
      </c>
      <c r="B36" s="114">
        <v>0</v>
      </c>
      <c r="C36" s="56">
        <v>0.95</v>
      </c>
      <c r="D36" s="57">
        <v>231.85</v>
      </c>
      <c r="E36" s="57" t="s">
        <v>202</v>
      </c>
    </row>
    <row r="37" spans="1:5" ht="15.75" customHeight="1" x14ac:dyDescent="0.25">
      <c r="A37" s="82" t="s">
        <v>85</v>
      </c>
      <c r="B37" s="102">
        <v>0</v>
      </c>
      <c r="C37" s="56">
        <v>0.95</v>
      </c>
      <c r="D37" s="57">
        <v>0.92</v>
      </c>
      <c r="E37" s="57" t="s">
        <v>202</v>
      </c>
    </row>
    <row r="38" spans="1:5" ht="15.75" customHeight="1" x14ac:dyDescent="0.25">
      <c r="A38" s="55" t="s">
        <v>60</v>
      </c>
      <c r="B38" s="114">
        <v>0</v>
      </c>
      <c r="C38" s="56">
        <v>0.95</v>
      </c>
      <c r="D38" s="57">
        <v>4.6100000000000003</v>
      </c>
      <c r="E38" s="57" t="s">
        <v>202</v>
      </c>
    </row>
  </sheetData>
  <sortState ref="A2:D38">
    <sortCondition ref="A2:A38"/>
  </sortState>
  <pageMargins left="0.75" right="0.75" top="1" bottom="1" header="0.5" footer="0.5"/>
  <pageSetup paperSize="9" orientation="portrait" horizontalDpi="4294967292" verticalDpi="4294967292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'Cost curve options'!$A$1:$A$4</xm:f>
          </x14:formula1>
          <xm:sqref>E2:E38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theme="7" tint="-0.249977111117893"/>
  </sheetPr>
  <dimension ref="A1:E9"/>
  <sheetViews>
    <sheetView zoomScale="60" zoomScaleNormal="60" workbookViewId="0">
      <selection activeCell="F1" sqref="F1:F1048576"/>
    </sheetView>
  </sheetViews>
  <sheetFormatPr defaultColWidth="10.77734375" defaultRowHeight="15.6" x14ac:dyDescent="0.3"/>
  <cols>
    <col min="1" max="1" width="18.5546875" style="60" customWidth="1"/>
    <col min="2" max="16384" width="10.77734375" style="60"/>
  </cols>
  <sheetData>
    <row r="1" spans="1:5" ht="53.4" x14ac:dyDescent="0.3">
      <c r="A1" s="65" t="s">
        <v>192</v>
      </c>
      <c r="B1" s="64" t="s">
        <v>175</v>
      </c>
      <c r="C1" s="64" t="s">
        <v>174</v>
      </c>
      <c r="D1" s="64" t="s">
        <v>173</v>
      </c>
      <c r="E1" s="64" t="s">
        <v>172</v>
      </c>
    </row>
    <row r="2" spans="1:5" x14ac:dyDescent="0.3">
      <c r="A2" s="63" t="s">
        <v>164</v>
      </c>
      <c r="B2" s="62" t="s">
        <v>32</v>
      </c>
      <c r="C2" s="57">
        <f>1.5*0.61</f>
        <v>0.91500000000000004</v>
      </c>
      <c r="D2" s="57">
        <f>0.5*0.61</f>
        <v>0.30499999999999999</v>
      </c>
      <c r="E2" s="57">
        <v>0.05</v>
      </c>
    </row>
    <row r="3" spans="1:5" x14ac:dyDescent="0.3">
      <c r="A3" s="62"/>
      <c r="B3" s="62" t="s">
        <v>1</v>
      </c>
      <c r="C3" s="57">
        <f>1.5*0.61</f>
        <v>0.91500000000000004</v>
      </c>
      <c r="D3" s="57">
        <f>0.5*0.61</f>
        <v>0.30499999999999999</v>
      </c>
      <c r="E3" s="57">
        <v>0.05</v>
      </c>
    </row>
    <row r="4" spans="1:5" x14ac:dyDescent="0.3">
      <c r="A4" s="62"/>
      <c r="B4" s="62" t="s">
        <v>2</v>
      </c>
      <c r="C4" s="57">
        <f>1.5*0.61</f>
        <v>0.91500000000000004</v>
      </c>
      <c r="D4" s="57">
        <f>0.5*0.61</f>
        <v>0.30499999999999999</v>
      </c>
      <c r="E4" s="57">
        <v>0.05</v>
      </c>
    </row>
    <row r="5" spans="1:5" x14ac:dyDescent="0.3">
      <c r="A5" s="62"/>
      <c r="B5" s="62" t="s">
        <v>3</v>
      </c>
      <c r="C5" s="57">
        <f>1.5*0.61</f>
        <v>0.91500000000000004</v>
      </c>
      <c r="D5" s="57">
        <f>0.5*0.61</f>
        <v>0.30499999999999999</v>
      </c>
      <c r="E5" s="57">
        <v>0.05</v>
      </c>
    </row>
    <row r="6" spans="1:5" x14ac:dyDescent="0.3">
      <c r="A6" s="62"/>
      <c r="B6" s="62" t="s">
        <v>4</v>
      </c>
      <c r="C6" s="57">
        <f>1.5*0.61</f>
        <v>0.91500000000000004</v>
      </c>
      <c r="D6" s="57">
        <f>0.5*0.61</f>
        <v>0.30499999999999999</v>
      </c>
      <c r="E6" s="57">
        <v>0.05</v>
      </c>
    </row>
    <row r="9" spans="1:5" x14ac:dyDescent="0.3">
      <c r="C9" s="61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>
    <tabColor theme="7" tint="-0.249977111117893"/>
  </sheetPr>
  <dimension ref="A1:C18"/>
  <sheetViews>
    <sheetView zoomScale="60" zoomScaleNormal="60" workbookViewId="0">
      <selection activeCell="F32" sqref="F32"/>
    </sheetView>
  </sheetViews>
  <sheetFormatPr defaultColWidth="11.33203125" defaultRowHeight="13.2" x14ac:dyDescent="0.25"/>
  <cols>
    <col min="1" max="1" width="53" style="55" bestFit="1" customWidth="1"/>
    <col min="2" max="2" width="47.77734375" style="40" customWidth="1"/>
    <col min="3" max="3" width="42.33203125" style="40" customWidth="1"/>
    <col min="4" max="16384" width="11.33203125" style="40"/>
  </cols>
  <sheetData>
    <row r="1" spans="1:3" x14ac:dyDescent="0.25">
      <c r="A1" s="45" t="s">
        <v>69</v>
      </c>
      <c r="B1" s="45" t="s">
        <v>178</v>
      </c>
      <c r="C1" s="45" t="s">
        <v>177</v>
      </c>
    </row>
    <row r="2" spans="1:3" x14ac:dyDescent="0.25">
      <c r="A2" s="14" t="s">
        <v>185</v>
      </c>
      <c r="B2" s="51" t="s">
        <v>59</v>
      </c>
      <c r="C2" s="51"/>
    </row>
    <row r="3" spans="1:3" x14ac:dyDescent="0.25">
      <c r="A3" s="14" t="s">
        <v>206</v>
      </c>
      <c r="B3" s="51" t="s">
        <v>59</v>
      </c>
      <c r="C3" s="51"/>
    </row>
    <row r="4" spans="1:3" x14ac:dyDescent="0.25">
      <c r="A4" s="55" t="s">
        <v>58</v>
      </c>
      <c r="B4" s="51" t="s">
        <v>136</v>
      </c>
      <c r="C4" s="51"/>
    </row>
    <row r="5" spans="1:3" x14ac:dyDescent="0.25">
      <c r="A5" s="55" t="s">
        <v>137</v>
      </c>
      <c r="B5" s="51" t="s">
        <v>136</v>
      </c>
      <c r="C5" s="51"/>
    </row>
    <row r="11" spans="1:3" x14ac:dyDescent="0.25">
      <c r="A11" s="36"/>
    </row>
    <row r="12" spans="1:3" x14ac:dyDescent="0.25">
      <c r="A12" s="36"/>
    </row>
    <row r="13" spans="1:3" x14ac:dyDescent="0.25">
      <c r="A13" s="36"/>
    </row>
    <row r="14" spans="1:3" x14ac:dyDescent="0.25">
      <c r="A14" s="36"/>
    </row>
    <row r="15" spans="1:3" x14ac:dyDescent="0.25">
      <c r="A15" s="36"/>
    </row>
    <row r="16" spans="1:3" x14ac:dyDescent="0.25">
      <c r="A16" s="36"/>
    </row>
    <row r="17" spans="1:1" x14ac:dyDescent="0.25">
      <c r="A17" s="36"/>
    </row>
    <row r="18" spans="1:1" x14ac:dyDescent="0.25">
      <c r="A18" s="36"/>
    </row>
  </sheetData>
  <pageMargins left="0.7" right="0.7" top="0.75" bottom="0.75" header="0.3" footer="0.3"/>
  <pageSetup paperSize="9" orientation="portrait" horizontalDpi="0" verticalDpi="0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tabColor theme="0" tint="-0.249977111117893"/>
  </sheetPr>
  <dimension ref="A1:A19"/>
  <sheetViews>
    <sheetView workbookViewId="0">
      <selection activeCell="A6" sqref="A6"/>
    </sheetView>
  </sheetViews>
  <sheetFormatPr defaultColWidth="11.33203125" defaultRowHeight="13.2" x14ac:dyDescent="0.25"/>
  <cols>
    <col min="1" max="1" width="30.109375" style="40" customWidth="1"/>
    <col min="2" max="16384" width="11.33203125" style="40"/>
  </cols>
  <sheetData>
    <row r="1" spans="1:1" x14ac:dyDescent="0.25">
      <c r="A1" s="45" t="s">
        <v>69</v>
      </c>
    </row>
    <row r="2" spans="1:1" x14ac:dyDescent="0.25">
      <c r="A2" s="51" t="s">
        <v>195</v>
      </c>
    </row>
    <row r="3" spans="1:1" x14ac:dyDescent="0.25">
      <c r="A3" s="51" t="s">
        <v>57</v>
      </c>
    </row>
    <row r="4" spans="1:1" x14ac:dyDescent="0.25">
      <c r="A4" s="51" t="s">
        <v>34</v>
      </c>
    </row>
    <row r="5" spans="1:1" x14ac:dyDescent="0.25">
      <c r="A5" s="51" t="s">
        <v>83</v>
      </c>
    </row>
    <row r="6" spans="1:1" x14ac:dyDescent="0.25">
      <c r="A6" s="51" t="s">
        <v>82</v>
      </c>
    </row>
    <row r="7" spans="1:1" x14ac:dyDescent="0.25">
      <c r="A7" s="51" t="s">
        <v>81</v>
      </c>
    </row>
    <row r="8" spans="1:1" x14ac:dyDescent="0.25">
      <c r="A8" s="51" t="s">
        <v>79</v>
      </c>
    </row>
    <row r="9" spans="1:1" x14ac:dyDescent="0.25">
      <c r="A9" s="51" t="s">
        <v>80</v>
      </c>
    </row>
    <row r="10" spans="1:1" x14ac:dyDescent="0.25">
      <c r="A10" s="51"/>
    </row>
    <row r="11" spans="1:1" x14ac:dyDescent="0.25">
      <c r="A11" s="51"/>
    </row>
    <row r="12" spans="1:1" x14ac:dyDescent="0.25">
      <c r="A12" s="51"/>
    </row>
    <row r="13" spans="1:1" x14ac:dyDescent="0.25">
      <c r="A13" s="51"/>
    </row>
    <row r="14" spans="1:1" x14ac:dyDescent="0.25">
      <c r="A14" s="51"/>
    </row>
    <row r="15" spans="1:1" x14ac:dyDescent="0.25">
      <c r="A15" s="51"/>
    </row>
    <row r="16" spans="1:1" x14ac:dyDescent="0.25">
      <c r="A16" s="51"/>
    </row>
    <row r="17" spans="1:1" x14ac:dyDescent="0.25">
      <c r="A17" s="51"/>
    </row>
    <row r="18" spans="1:1" x14ac:dyDescent="0.25">
      <c r="A18" s="51"/>
    </row>
    <row r="19" spans="1:1" x14ac:dyDescent="0.25">
      <c r="A19" s="51"/>
    </row>
  </sheetData>
  <pageMargins left="0.7" right="0.7" top="0.75" bottom="0.75" header="0.3" footer="0.3"/>
  <pageSetup paperSize="9" orientation="portrait" horizontalDpi="0" verticalDpi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tabColor theme="0" tint="-0.34998626667073579"/>
  </sheetPr>
  <dimension ref="A1:F4"/>
  <sheetViews>
    <sheetView zoomScale="60" zoomScaleNormal="60" workbookViewId="0">
      <selection activeCell="I37" sqref="I37"/>
    </sheetView>
  </sheetViews>
  <sheetFormatPr defaultColWidth="14.332031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8">
        <f>'Baseline year population inputs'!C51</f>
        <v>3.3</v>
      </c>
      <c r="C2" s="28">
        <f>'Baseline year population inputs'!C52</f>
        <v>3.3</v>
      </c>
      <c r="D2" s="28">
        <f>'Baseline year population inputs'!C53</f>
        <v>3.3</v>
      </c>
      <c r="E2" s="28">
        <f>'Baseline year population inputs'!C54</f>
        <v>3.3</v>
      </c>
      <c r="F2" s="28">
        <f>'Baseline year population inputs'!C55</f>
        <v>3.3</v>
      </c>
    </row>
    <row r="3" spans="1:6" ht="15.75" customHeight="1" x14ac:dyDescent="0.25">
      <c r="A3" s="3" t="s">
        <v>65</v>
      </c>
      <c r="B3" s="28">
        <f>frac_mam_1month * 2.6</f>
        <v>0.20825714000000001</v>
      </c>
      <c r="C3" s="28">
        <f>frac_mam_1_5months * 2.6</f>
        <v>0.20825714000000001</v>
      </c>
      <c r="D3" s="28">
        <f>frac_mam_6_11months * 2.6</f>
        <v>0.11942372</v>
      </c>
      <c r="E3" s="28">
        <f>frac_mam_12_23months * 2.6</f>
        <v>8.2005819999999993E-2</v>
      </c>
      <c r="F3" s="28">
        <f>frac_mam_24_59months * 2.6</f>
        <v>9.187880000000001E-2</v>
      </c>
    </row>
    <row r="4" spans="1:6" ht="15.75" customHeight="1" x14ac:dyDescent="0.25">
      <c r="A4" s="3" t="s">
        <v>66</v>
      </c>
      <c r="B4" s="28">
        <f>frac_sam_1month * 2.6</f>
        <v>0</v>
      </c>
      <c r="C4" s="28">
        <f>frac_sam_1_5months * 2.6</f>
        <v>0</v>
      </c>
      <c r="D4" s="28">
        <f>frac_sam_6_11months * 2.6</f>
        <v>0</v>
      </c>
      <c r="E4" s="28">
        <f>frac_sam_12_23months * 2.6</f>
        <v>0</v>
      </c>
      <c r="F4" s="28">
        <f>frac_sam_24_59months * 2.6</f>
        <v>9.9018400000000006E-2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tabColor theme="0" tint="-0.249977111117893"/>
  </sheetPr>
  <dimension ref="A1:O39"/>
  <sheetViews>
    <sheetView zoomScale="60" zoomScaleNormal="60" workbookViewId="0">
      <selection activeCell="C1" sqref="C1"/>
    </sheetView>
  </sheetViews>
  <sheetFormatPr defaultColWidth="14.33203125" defaultRowHeight="15.75" customHeight="1" x14ac:dyDescent="0.25"/>
  <cols>
    <col min="1" max="1" width="20" bestFit="1" customWidth="1"/>
    <col min="2" max="2" width="45.77734375" customWidth="1"/>
    <col min="3" max="3" width="8.332031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4" t="s">
        <v>61</v>
      </c>
      <c r="C2" s="38">
        <v>0</v>
      </c>
      <c r="D2" s="38">
        <f>food_insecure</f>
        <v>0.57999999999999996</v>
      </c>
      <c r="E2" s="38">
        <f>food_insecure</f>
        <v>0.57999999999999996</v>
      </c>
      <c r="F2" s="38">
        <f>food_insecure</f>
        <v>0.57999999999999996</v>
      </c>
      <c r="G2" s="38">
        <f>food_insecure</f>
        <v>0.57999999999999996</v>
      </c>
      <c r="H2" s="39">
        <v>0</v>
      </c>
      <c r="I2" s="39">
        <v>0</v>
      </c>
      <c r="J2" s="39">
        <v>0</v>
      </c>
      <c r="K2" s="39">
        <v>0</v>
      </c>
      <c r="L2" s="39">
        <v>0</v>
      </c>
      <c r="M2" s="39">
        <v>0</v>
      </c>
      <c r="N2" s="39">
        <v>0</v>
      </c>
      <c r="O2" s="39">
        <v>0</v>
      </c>
    </row>
    <row r="3" spans="1:15" ht="15.75" customHeight="1" x14ac:dyDescent="0.25">
      <c r="B3" s="9" t="s">
        <v>149</v>
      </c>
      <c r="C3" s="38">
        <v>1</v>
      </c>
      <c r="D3" s="38">
        <v>0</v>
      </c>
      <c r="E3" s="38">
        <v>0</v>
      </c>
      <c r="F3" s="38">
        <v>0</v>
      </c>
      <c r="G3" s="38">
        <v>0</v>
      </c>
      <c r="H3" s="39">
        <v>0</v>
      </c>
      <c r="I3" s="39">
        <v>0</v>
      </c>
      <c r="J3" s="39">
        <v>0</v>
      </c>
      <c r="K3" s="39">
        <v>0</v>
      </c>
      <c r="L3" s="39">
        <v>0</v>
      </c>
      <c r="M3" s="39">
        <v>0</v>
      </c>
      <c r="N3" s="39">
        <v>0</v>
      </c>
      <c r="O3" s="39">
        <v>0</v>
      </c>
    </row>
    <row r="4" spans="1:15" ht="15.75" customHeight="1" x14ac:dyDescent="0.25">
      <c r="B4" s="9" t="s">
        <v>193</v>
      </c>
      <c r="C4" s="38">
        <v>1</v>
      </c>
      <c r="D4" s="38">
        <v>0</v>
      </c>
      <c r="E4" s="38">
        <v>0</v>
      </c>
      <c r="F4" s="38">
        <v>0</v>
      </c>
      <c r="G4" s="38">
        <v>0</v>
      </c>
      <c r="H4" s="39">
        <v>0</v>
      </c>
      <c r="I4" s="39">
        <v>0</v>
      </c>
      <c r="J4" s="39">
        <v>0</v>
      </c>
      <c r="K4" s="39">
        <v>0</v>
      </c>
      <c r="L4" s="39">
        <v>0</v>
      </c>
      <c r="M4" s="39">
        <v>0</v>
      </c>
      <c r="N4" s="39">
        <v>0</v>
      </c>
      <c r="O4" s="39">
        <v>0</v>
      </c>
    </row>
    <row r="5" spans="1:15" ht="15.75" customHeight="1" x14ac:dyDescent="0.25">
      <c r="B5" s="14" t="s">
        <v>136</v>
      </c>
      <c r="C5" s="38">
        <v>0</v>
      </c>
      <c r="D5" s="38">
        <v>0</v>
      </c>
      <c r="E5" s="38">
        <f>food_insecure</f>
        <v>0.57999999999999996</v>
      </c>
      <c r="F5" s="38">
        <f>food_insecure</f>
        <v>0.57999999999999996</v>
      </c>
      <c r="G5" s="38">
        <v>0</v>
      </c>
      <c r="H5" s="39">
        <v>0</v>
      </c>
      <c r="I5" s="39">
        <v>0</v>
      </c>
      <c r="J5" s="39">
        <v>0</v>
      </c>
      <c r="K5" s="39">
        <v>0</v>
      </c>
      <c r="L5" s="39">
        <v>0</v>
      </c>
      <c r="M5" s="39">
        <v>0</v>
      </c>
      <c r="N5" s="39">
        <v>0</v>
      </c>
      <c r="O5" s="39">
        <v>0</v>
      </c>
    </row>
    <row r="6" spans="1:15" ht="15.75" customHeight="1" x14ac:dyDescent="0.25">
      <c r="B6" s="14" t="s">
        <v>137</v>
      </c>
      <c r="C6" s="38">
        <v>0</v>
      </c>
      <c r="D6" s="38">
        <v>0</v>
      </c>
      <c r="E6" s="38">
        <f>1</f>
        <v>1</v>
      </c>
      <c r="F6" s="38">
        <f>1</f>
        <v>1</v>
      </c>
      <c r="G6" s="38">
        <f>1</f>
        <v>1</v>
      </c>
      <c r="H6" s="39">
        <v>0</v>
      </c>
      <c r="I6" s="39">
        <v>0</v>
      </c>
      <c r="J6" s="39">
        <v>0</v>
      </c>
      <c r="K6" s="39">
        <v>0</v>
      </c>
      <c r="L6" s="39">
        <v>0</v>
      </c>
      <c r="M6" s="39">
        <v>0</v>
      </c>
      <c r="N6" s="39">
        <v>0</v>
      </c>
      <c r="O6" s="39">
        <v>0</v>
      </c>
    </row>
    <row r="7" spans="1:15" ht="15.75" customHeight="1" x14ac:dyDescent="0.25">
      <c r="B7" s="36" t="s">
        <v>84</v>
      </c>
      <c r="C7" s="38">
        <f>diarrhoea_1mo/26</f>
        <v>0.12692307692307692</v>
      </c>
      <c r="D7" s="38">
        <f>diarrhoea_1_5mo/26</f>
        <v>0.12692307692307692</v>
      </c>
      <c r="E7" s="38">
        <f>diarrhoea_6_11mo/26</f>
        <v>0.12692307692307692</v>
      </c>
      <c r="F7" s="38">
        <f>diarrhoea_12_23mo/26</f>
        <v>0.12692307692307692</v>
      </c>
      <c r="G7" s="38">
        <f>diarrhoea_24_59mo/26</f>
        <v>0.12692307692307692</v>
      </c>
      <c r="H7" s="39">
        <v>0</v>
      </c>
      <c r="I7" s="39">
        <v>0</v>
      </c>
      <c r="J7" s="39">
        <v>0</v>
      </c>
      <c r="K7" s="39">
        <v>0</v>
      </c>
      <c r="L7" s="39">
        <v>0</v>
      </c>
      <c r="M7" s="39">
        <v>0</v>
      </c>
      <c r="N7" s="39">
        <v>0</v>
      </c>
      <c r="O7" s="39">
        <v>0</v>
      </c>
    </row>
    <row r="8" spans="1:15" ht="15.75" customHeight="1" x14ac:dyDescent="0.25">
      <c r="B8" s="14" t="s">
        <v>58</v>
      </c>
      <c r="C8" s="38">
        <v>0</v>
      </c>
      <c r="D8" s="38">
        <v>0</v>
      </c>
      <c r="E8" s="38">
        <f>food_insecure</f>
        <v>0.57999999999999996</v>
      </c>
      <c r="F8" s="38">
        <f>food_insecure</f>
        <v>0.57999999999999996</v>
      </c>
      <c r="G8" s="38">
        <v>0</v>
      </c>
      <c r="H8" s="39">
        <v>0</v>
      </c>
      <c r="I8" s="39">
        <v>0</v>
      </c>
      <c r="J8" s="39">
        <v>0</v>
      </c>
      <c r="K8" s="39">
        <v>0</v>
      </c>
      <c r="L8" s="39">
        <v>0</v>
      </c>
      <c r="M8" s="39">
        <v>0</v>
      </c>
      <c r="N8" s="39">
        <v>0</v>
      </c>
      <c r="O8" s="39">
        <v>0</v>
      </c>
    </row>
    <row r="9" spans="1:15" ht="15.75" customHeight="1" x14ac:dyDescent="0.25">
      <c r="B9" s="14" t="s">
        <v>67</v>
      </c>
      <c r="C9" s="38">
        <v>0</v>
      </c>
      <c r="D9" s="38">
        <f>IF(ISBLANK(comm_deliv), frac_children_health_facility,1)</f>
        <v>0.26100000000000001</v>
      </c>
      <c r="E9" s="38">
        <f>IF(ISBLANK(comm_deliv), frac_children_health_facility,1)</f>
        <v>0.26100000000000001</v>
      </c>
      <c r="F9" s="38">
        <f>IF(ISBLANK(comm_deliv), frac_children_health_facility,1)</f>
        <v>0.26100000000000001</v>
      </c>
      <c r="G9" s="38">
        <f>IF(ISBLANK(comm_deliv), frac_children_health_facility,1)</f>
        <v>0.26100000000000001</v>
      </c>
      <c r="H9" s="39">
        <v>0</v>
      </c>
      <c r="I9" s="39">
        <v>0</v>
      </c>
      <c r="J9" s="39">
        <v>0</v>
      </c>
      <c r="K9" s="39">
        <v>0</v>
      </c>
      <c r="L9" s="39">
        <v>0</v>
      </c>
      <c r="M9" s="39">
        <v>0</v>
      </c>
      <c r="N9" s="39">
        <v>0</v>
      </c>
      <c r="O9" s="39">
        <v>0</v>
      </c>
    </row>
    <row r="10" spans="1:15" ht="15" customHeight="1" x14ac:dyDescent="0.25">
      <c r="B10" s="14" t="s">
        <v>28</v>
      </c>
      <c r="C10" s="38">
        <v>0</v>
      </c>
      <c r="D10" s="38">
        <v>0</v>
      </c>
      <c r="E10" s="38">
        <v>1</v>
      </c>
      <c r="F10" s="38">
        <v>1</v>
      </c>
      <c r="G10" s="38">
        <v>1</v>
      </c>
      <c r="H10" s="39">
        <v>0</v>
      </c>
      <c r="I10" s="39">
        <v>0</v>
      </c>
      <c r="J10" s="39">
        <v>0</v>
      </c>
      <c r="K10" s="39">
        <v>0</v>
      </c>
      <c r="L10" s="39">
        <v>0</v>
      </c>
      <c r="M10" s="39">
        <v>0</v>
      </c>
      <c r="N10" s="39">
        <v>0</v>
      </c>
      <c r="O10" s="39">
        <v>0</v>
      </c>
    </row>
    <row r="11" spans="1:15" ht="15.75" customHeight="1" x14ac:dyDescent="0.25">
      <c r="B11" s="36" t="s">
        <v>85</v>
      </c>
      <c r="C11" s="38">
        <f>diarrhoea_1mo/26</f>
        <v>0.12692307692307692</v>
      </c>
      <c r="D11" s="38">
        <f>diarrhoea_1_5mo/26</f>
        <v>0.12692307692307692</v>
      </c>
      <c r="E11" s="38">
        <f>diarrhoea_6_11mo/26</f>
        <v>0.12692307692307692</v>
      </c>
      <c r="F11" s="38">
        <f>diarrhoea_12_23mo/26</f>
        <v>0.12692307692307692</v>
      </c>
      <c r="G11" s="38">
        <f>diarrhoea_24_59mo/26</f>
        <v>0.12692307692307692</v>
      </c>
      <c r="H11" s="39">
        <v>0</v>
      </c>
      <c r="I11" s="39">
        <v>0</v>
      </c>
      <c r="J11" s="39">
        <v>0</v>
      </c>
      <c r="K11" s="39">
        <v>0</v>
      </c>
      <c r="L11" s="39">
        <v>0</v>
      </c>
      <c r="M11" s="39">
        <v>0</v>
      </c>
      <c r="N11" s="39">
        <v>0</v>
      </c>
      <c r="O11" s="39">
        <v>0</v>
      </c>
    </row>
    <row r="12" spans="1:15" ht="15.75" customHeight="1" x14ac:dyDescent="0.25">
      <c r="B12" s="14" t="s">
        <v>60</v>
      </c>
      <c r="C12" s="38">
        <v>0</v>
      </c>
      <c r="D12" s="38">
        <v>0</v>
      </c>
      <c r="E12" s="38">
        <v>1</v>
      </c>
      <c r="F12" s="38">
        <v>1</v>
      </c>
      <c r="G12" s="38">
        <v>1</v>
      </c>
      <c r="H12" s="39">
        <v>0</v>
      </c>
      <c r="I12" s="39">
        <v>0</v>
      </c>
      <c r="J12" s="39">
        <v>0</v>
      </c>
      <c r="K12" s="39">
        <v>0</v>
      </c>
      <c r="L12" s="39">
        <v>0</v>
      </c>
      <c r="M12" s="39">
        <v>0</v>
      </c>
      <c r="N12" s="39">
        <v>0</v>
      </c>
      <c r="O12" s="39">
        <v>0</v>
      </c>
    </row>
    <row r="13" spans="1:15" ht="15.75" customHeight="1" x14ac:dyDescent="0.25">
      <c r="B13" s="36"/>
    </row>
    <row r="14" spans="1:15" ht="15.75" customHeight="1" x14ac:dyDescent="0.25">
      <c r="A14" s="4" t="s">
        <v>32</v>
      </c>
      <c r="B14" s="36" t="s">
        <v>29</v>
      </c>
      <c r="C14" s="39">
        <v>0</v>
      </c>
      <c r="D14" s="39">
        <v>0</v>
      </c>
      <c r="E14" s="39">
        <v>0</v>
      </c>
      <c r="F14" s="39">
        <v>0</v>
      </c>
      <c r="G14" s="39">
        <v>0</v>
      </c>
      <c r="H14" s="38">
        <f>food_insecure</f>
        <v>0.57999999999999996</v>
      </c>
      <c r="I14" s="38">
        <f>food_insecure</f>
        <v>0.57999999999999996</v>
      </c>
      <c r="J14" s="38">
        <f>food_insecure</f>
        <v>0.57999999999999996</v>
      </c>
      <c r="K14" s="38">
        <f>food_insecure</f>
        <v>0.57999999999999996</v>
      </c>
      <c r="L14" s="39">
        <v>0</v>
      </c>
      <c r="M14" s="39">
        <v>0</v>
      </c>
      <c r="N14" s="39">
        <v>0</v>
      </c>
      <c r="O14" s="39">
        <v>0</v>
      </c>
    </row>
    <row r="15" spans="1:15" ht="15.75" customHeight="1" x14ac:dyDescent="0.25">
      <c r="A15" s="4"/>
      <c r="B15" s="14" t="s">
        <v>86</v>
      </c>
      <c r="C15" s="39">
        <v>0</v>
      </c>
      <c r="D15" s="39">
        <v>0</v>
      </c>
      <c r="E15" s="39">
        <v>0</v>
      </c>
      <c r="F15" s="39">
        <v>0</v>
      </c>
      <c r="G15" s="39">
        <v>0</v>
      </c>
      <c r="H15" s="38">
        <v>1</v>
      </c>
      <c r="I15" s="38">
        <v>1</v>
      </c>
      <c r="J15" s="38">
        <v>1</v>
      </c>
      <c r="K15" s="38">
        <v>1</v>
      </c>
      <c r="L15" s="39">
        <v>0</v>
      </c>
      <c r="M15" s="39">
        <v>0</v>
      </c>
      <c r="N15" s="39">
        <v>0</v>
      </c>
      <c r="O15" s="39">
        <v>0</v>
      </c>
    </row>
    <row r="16" spans="1:15" ht="15.75" customHeight="1" x14ac:dyDescent="0.25">
      <c r="A16" s="4"/>
      <c r="B16" s="14" t="s">
        <v>185</v>
      </c>
      <c r="C16" s="39">
        <v>0</v>
      </c>
      <c r="D16" s="39">
        <v>0</v>
      </c>
      <c r="E16" s="39">
        <v>0</v>
      </c>
      <c r="F16" s="39">
        <v>0</v>
      </c>
      <c r="G16" s="39">
        <v>0</v>
      </c>
      <c r="H16" s="38">
        <f xml:space="preserve"> 1</f>
        <v>1</v>
      </c>
      <c r="I16" s="38">
        <f xml:space="preserve"> 1</f>
        <v>1</v>
      </c>
      <c r="J16" s="38">
        <f xml:space="preserve"> 1</f>
        <v>1</v>
      </c>
      <c r="K16" s="38">
        <f xml:space="preserve"> 1</f>
        <v>1</v>
      </c>
      <c r="L16" s="39">
        <v>0</v>
      </c>
      <c r="M16" s="39">
        <v>0</v>
      </c>
      <c r="N16" s="39">
        <v>0</v>
      </c>
      <c r="O16" s="39">
        <v>0</v>
      </c>
    </row>
    <row r="17" spans="1:15" ht="15.75" customHeight="1" x14ac:dyDescent="0.25">
      <c r="A17" s="4"/>
      <c r="B17" s="14" t="s">
        <v>206</v>
      </c>
      <c r="C17" s="39">
        <v>0</v>
      </c>
      <c r="D17" s="39">
        <v>0</v>
      </c>
      <c r="E17" s="39">
        <v>0</v>
      </c>
      <c r="F17" s="39">
        <v>0</v>
      </c>
      <c r="G17" s="39">
        <v>0</v>
      </c>
      <c r="H17" s="38">
        <f>frac_PW_health_facility</f>
        <v>0.49070000000000003</v>
      </c>
      <c r="I17" s="38">
        <f>frac_PW_health_facility</f>
        <v>0.49070000000000003</v>
      </c>
      <c r="J17" s="38">
        <f>frac_PW_health_facility</f>
        <v>0.49070000000000003</v>
      </c>
      <c r="K17" s="38">
        <f>frac_PW_health_facility</f>
        <v>0.49070000000000003</v>
      </c>
      <c r="L17" s="39">
        <v>0</v>
      </c>
      <c r="M17" s="39">
        <v>0</v>
      </c>
      <c r="N17" s="39">
        <v>0</v>
      </c>
      <c r="O17" s="39">
        <v>0</v>
      </c>
    </row>
    <row r="18" spans="1:15" ht="15" customHeight="1" x14ac:dyDescent="0.25">
      <c r="B18" s="36" t="s">
        <v>57</v>
      </c>
      <c r="C18" s="39">
        <v>0</v>
      </c>
      <c r="D18" s="39">
        <v>0</v>
      </c>
      <c r="E18" s="39">
        <v>0</v>
      </c>
      <c r="F18" s="39">
        <v>0</v>
      </c>
      <c r="G18" s="39">
        <v>0</v>
      </c>
      <c r="H18" s="38">
        <f>frac_malaria_risk</f>
        <v>0.25919999999999999</v>
      </c>
      <c r="I18" s="38">
        <f>frac_malaria_risk</f>
        <v>0.25919999999999999</v>
      </c>
      <c r="J18" s="38">
        <f>frac_malaria_risk</f>
        <v>0.25919999999999999</v>
      </c>
      <c r="K18" s="38">
        <f>frac_malaria_risk</f>
        <v>0.25919999999999999</v>
      </c>
      <c r="L18" s="39">
        <v>0</v>
      </c>
      <c r="M18" s="39">
        <v>0</v>
      </c>
      <c r="N18" s="39">
        <v>0</v>
      </c>
      <c r="O18" s="39">
        <v>0</v>
      </c>
    </row>
    <row r="19" spans="1:15" ht="15.75" customHeight="1" x14ac:dyDescent="0.25">
      <c r="B19" s="14" t="s">
        <v>88</v>
      </c>
      <c r="C19" s="39">
        <v>0</v>
      </c>
      <c r="D19" s="39">
        <v>0</v>
      </c>
      <c r="E19" s="39">
        <v>0</v>
      </c>
      <c r="F19" s="39">
        <v>0</v>
      </c>
      <c r="G19" s="39">
        <v>0</v>
      </c>
      <c r="H19" s="38">
        <v>1</v>
      </c>
      <c r="I19" s="38">
        <v>1</v>
      </c>
      <c r="J19" s="38">
        <v>1</v>
      </c>
      <c r="K19" s="38">
        <v>1</v>
      </c>
      <c r="L19" s="39">
        <v>0</v>
      </c>
      <c r="M19" s="39">
        <v>0</v>
      </c>
      <c r="N19" s="39">
        <v>0</v>
      </c>
      <c r="O19" s="39">
        <v>0</v>
      </c>
    </row>
    <row r="20" spans="1:15" ht="15.75" customHeight="1" x14ac:dyDescent="0.25">
      <c r="B20" s="14" t="s">
        <v>87</v>
      </c>
      <c r="C20" s="39">
        <v>0</v>
      </c>
      <c r="D20" s="39">
        <v>0</v>
      </c>
      <c r="E20" s="39">
        <v>0</v>
      </c>
      <c r="F20" s="39">
        <v>0</v>
      </c>
      <c r="G20" s="39">
        <v>0</v>
      </c>
      <c r="H20" s="38">
        <v>1</v>
      </c>
      <c r="I20" s="38">
        <v>1</v>
      </c>
      <c r="J20" s="38">
        <v>1</v>
      </c>
      <c r="K20" s="38">
        <v>1</v>
      </c>
      <c r="L20" s="39">
        <v>0</v>
      </c>
      <c r="M20" s="39">
        <v>0</v>
      </c>
      <c r="N20" s="39">
        <v>0</v>
      </c>
      <c r="O20" s="39">
        <v>0</v>
      </c>
    </row>
    <row r="21" spans="1:15" ht="15.75" customHeight="1" x14ac:dyDescent="0.25">
      <c r="B21" s="36" t="s">
        <v>59</v>
      </c>
      <c r="C21" s="39">
        <v>0</v>
      </c>
      <c r="D21" s="39">
        <v>0</v>
      </c>
      <c r="E21" s="39">
        <v>0</v>
      </c>
      <c r="F21" s="39">
        <v>0</v>
      </c>
      <c r="G21" s="39">
        <v>0</v>
      </c>
      <c r="H21" s="38">
        <f>1</f>
        <v>1</v>
      </c>
      <c r="I21" s="38">
        <f>1</f>
        <v>1</v>
      </c>
      <c r="J21" s="38">
        <f>1</f>
        <v>1</v>
      </c>
      <c r="K21" s="38">
        <f>1</f>
        <v>1</v>
      </c>
      <c r="L21" s="39">
        <v>0</v>
      </c>
      <c r="M21" s="39">
        <v>0</v>
      </c>
      <c r="N21" s="39">
        <v>0</v>
      </c>
      <c r="O21" s="39">
        <v>0</v>
      </c>
    </row>
    <row r="22" spans="1:15" ht="15.75" customHeight="1" x14ac:dyDescent="0.25">
      <c r="B22" s="36"/>
    </row>
    <row r="23" spans="1:15" ht="15.75" customHeight="1" x14ac:dyDescent="0.25">
      <c r="A23" s="66" t="s">
        <v>37</v>
      </c>
      <c r="B23" s="67" t="s">
        <v>195</v>
      </c>
      <c r="C23" s="39">
        <v>0</v>
      </c>
      <c r="D23" s="39">
        <v>0</v>
      </c>
      <c r="E23" s="39">
        <v>0</v>
      </c>
      <c r="F23" s="39">
        <v>0</v>
      </c>
      <c r="G23" s="39">
        <v>0</v>
      </c>
      <c r="H23" s="39">
        <v>0</v>
      </c>
      <c r="I23" s="39">
        <v>0</v>
      </c>
      <c r="J23" s="39">
        <v>0</v>
      </c>
      <c r="K23" s="39">
        <v>0</v>
      </c>
      <c r="L23" s="38">
        <v>1</v>
      </c>
      <c r="M23" s="38">
        <v>1</v>
      </c>
      <c r="N23" s="38">
        <v>1</v>
      </c>
      <c r="O23" s="38">
        <v>1</v>
      </c>
    </row>
    <row r="24" spans="1:15" ht="15.75" customHeight="1" x14ac:dyDescent="0.25">
      <c r="B24" s="67" t="s">
        <v>186</v>
      </c>
      <c r="C24" s="39">
        <v>0</v>
      </c>
      <c r="D24" s="39">
        <v>0</v>
      </c>
      <c r="E24" s="39">
        <v>0</v>
      </c>
      <c r="F24" s="39">
        <v>0</v>
      </c>
      <c r="G24" s="39">
        <v>0</v>
      </c>
      <c r="H24" s="39">
        <v>0</v>
      </c>
      <c r="I24" s="39">
        <v>0</v>
      </c>
      <c r="J24" s="39">
        <v>0</v>
      </c>
      <c r="K24" s="39">
        <v>0</v>
      </c>
      <c r="L24" s="38">
        <f>(1-food_insecure)*(0.49)*(1-school_attendance) + food_insecure*(0.7)*(1-school_attendance)</f>
        <v>0.25346873999999997</v>
      </c>
      <c r="M24" s="38">
        <f>(1-food_insecure)*(0.49)+food_insecure*(0.7)</f>
        <v>0.61180000000000001</v>
      </c>
      <c r="N24" s="38">
        <f>(1-food_insecure)*(0.49)+food_insecure*(0.7)</f>
        <v>0.61180000000000001</v>
      </c>
      <c r="O24" s="38">
        <f>(1-food_insecure)*(0.49)+food_insecure*(0.7)</f>
        <v>0.61180000000000001</v>
      </c>
    </row>
    <row r="25" spans="1:15" ht="15.75" customHeight="1" x14ac:dyDescent="0.25">
      <c r="B25" s="67" t="s">
        <v>205</v>
      </c>
      <c r="C25" s="39">
        <v>0</v>
      </c>
      <c r="D25" s="39">
        <v>0</v>
      </c>
      <c r="E25" s="39">
        <v>0</v>
      </c>
      <c r="F25" s="39">
        <v>0</v>
      </c>
      <c r="G25" s="39">
        <v>0</v>
      </c>
      <c r="H25" s="39">
        <v>0</v>
      </c>
      <c r="I25" s="39">
        <v>0</v>
      </c>
      <c r="J25" s="39">
        <v>0</v>
      </c>
      <c r="K25" s="39">
        <v>0</v>
      </c>
      <c r="L25" s="38">
        <f>(1-food_insecure)*(0.21)*(1-school_attendance) + food_insecure*(0.3)*(1-school_attendance)</f>
        <v>0.10862945999999998</v>
      </c>
      <c r="M25" s="38">
        <f>(1-food_insecure)*(0.21)+food_insecure*(0.3)</f>
        <v>0.26219999999999999</v>
      </c>
      <c r="N25" s="38">
        <f>(1-food_insecure)*(0.21)+food_insecure*(0.3)</f>
        <v>0.26219999999999999</v>
      </c>
      <c r="O25" s="38">
        <f>(1-food_insecure)*(0.21)+food_insecure*(0.3)</f>
        <v>0.26219999999999999</v>
      </c>
    </row>
    <row r="26" spans="1:15" ht="15.75" customHeight="1" x14ac:dyDescent="0.25">
      <c r="B26" s="67" t="s">
        <v>187</v>
      </c>
      <c r="C26" s="39">
        <v>0</v>
      </c>
      <c r="D26" s="39">
        <v>0</v>
      </c>
      <c r="E26" s="39">
        <v>0</v>
      </c>
      <c r="F26" s="39">
        <v>0</v>
      </c>
      <c r="G26" s="39">
        <v>0</v>
      </c>
      <c r="H26" s="39">
        <v>0</v>
      </c>
      <c r="I26" s="39">
        <v>0</v>
      </c>
      <c r="J26" s="39">
        <v>0</v>
      </c>
      <c r="K26" s="39">
        <v>0</v>
      </c>
      <c r="L26" s="38">
        <f>(1-food_insecure)*(0.3)*(1-school_attendance)</f>
        <v>5.22018E-2</v>
      </c>
      <c r="M26" s="38">
        <f>(1-food_insecure)*(0.3)</f>
        <v>0.126</v>
      </c>
      <c r="N26" s="38">
        <f>(1-food_insecure)*(0.3)</f>
        <v>0.126</v>
      </c>
      <c r="O26" s="38">
        <f>(1-food_insecure)*(0.3)</f>
        <v>0.126</v>
      </c>
    </row>
    <row r="27" spans="1:15" ht="15.75" customHeight="1" x14ac:dyDescent="0.25">
      <c r="B27" s="67" t="s">
        <v>188</v>
      </c>
      <c r="C27" s="39">
        <v>0</v>
      </c>
      <c r="D27" s="39">
        <v>0</v>
      </c>
      <c r="E27" s="39">
        <v>0</v>
      </c>
      <c r="F27" s="39">
        <v>0</v>
      </c>
      <c r="G27" s="39">
        <v>0</v>
      </c>
      <c r="H27" s="39">
        <v>0</v>
      </c>
      <c r="I27" s="39">
        <v>0</v>
      </c>
      <c r="J27" s="39">
        <v>0</v>
      </c>
      <c r="K27" s="39">
        <v>0</v>
      </c>
      <c r="L27" s="38">
        <f>(1-food_insecure)*1*school_attendance + food_insecure*1*school_attendance</f>
        <v>0.5857</v>
      </c>
      <c r="M27" s="38">
        <v>0</v>
      </c>
      <c r="N27" s="38">
        <v>0</v>
      </c>
      <c r="O27" s="38">
        <v>0</v>
      </c>
    </row>
    <row r="28" spans="1:15" ht="15.75" customHeight="1" x14ac:dyDescent="0.25">
      <c r="B28" s="14"/>
      <c r="C28" s="2"/>
      <c r="D28" s="2"/>
      <c r="E28" s="13"/>
      <c r="F28" s="13"/>
      <c r="G28" s="13"/>
      <c r="H28" s="13"/>
      <c r="I28" s="13"/>
    </row>
    <row r="29" spans="1:15" ht="15.75" customHeight="1" x14ac:dyDescent="0.25">
      <c r="A29" s="4" t="s">
        <v>35</v>
      </c>
      <c r="B29" s="14" t="s">
        <v>63</v>
      </c>
      <c r="C29" s="38">
        <v>0</v>
      </c>
      <c r="D29" s="38">
        <v>0</v>
      </c>
      <c r="E29" s="38">
        <f t="shared" ref="E29:O29" si="0">frac_maize</f>
        <v>0.1</v>
      </c>
      <c r="F29" s="38">
        <f t="shared" si="0"/>
        <v>0.1</v>
      </c>
      <c r="G29" s="38">
        <f t="shared" si="0"/>
        <v>0.1</v>
      </c>
      <c r="H29" s="38">
        <f t="shared" si="0"/>
        <v>0.1</v>
      </c>
      <c r="I29" s="38">
        <f t="shared" si="0"/>
        <v>0.1</v>
      </c>
      <c r="J29" s="38">
        <f t="shared" si="0"/>
        <v>0.1</v>
      </c>
      <c r="K29" s="38">
        <f t="shared" si="0"/>
        <v>0.1</v>
      </c>
      <c r="L29" s="38">
        <f t="shared" si="0"/>
        <v>0.1</v>
      </c>
      <c r="M29" s="38">
        <f t="shared" si="0"/>
        <v>0.1</v>
      </c>
      <c r="N29" s="38">
        <f t="shared" si="0"/>
        <v>0.1</v>
      </c>
      <c r="O29" s="38">
        <f t="shared" si="0"/>
        <v>0.1</v>
      </c>
    </row>
    <row r="30" spans="1:15" ht="15.75" customHeight="1" x14ac:dyDescent="0.25">
      <c r="B30" s="14" t="s">
        <v>64</v>
      </c>
      <c r="C30" s="38">
        <v>0</v>
      </c>
      <c r="D30" s="38">
        <v>0</v>
      </c>
      <c r="E30" s="38">
        <f t="shared" ref="E30:O30" si="1">frac_rice</f>
        <v>0.1</v>
      </c>
      <c r="F30" s="38">
        <f t="shared" si="1"/>
        <v>0.1</v>
      </c>
      <c r="G30" s="38">
        <f t="shared" si="1"/>
        <v>0.1</v>
      </c>
      <c r="H30" s="38">
        <f t="shared" si="1"/>
        <v>0.1</v>
      </c>
      <c r="I30" s="38">
        <f t="shared" si="1"/>
        <v>0.1</v>
      </c>
      <c r="J30" s="38">
        <f t="shared" si="1"/>
        <v>0.1</v>
      </c>
      <c r="K30" s="38">
        <f t="shared" si="1"/>
        <v>0.1</v>
      </c>
      <c r="L30" s="38">
        <f t="shared" si="1"/>
        <v>0.1</v>
      </c>
      <c r="M30" s="38">
        <f t="shared" si="1"/>
        <v>0.1</v>
      </c>
      <c r="N30" s="38">
        <f t="shared" si="1"/>
        <v>0.1</v>
      </c>
      <c r="O30" s="38">
        <f t="shared" si="1"/>
        <v>0.1</v>
      </c>
    </row>
    <row r="31" spans="1:15" ht="15.75" customHeight="1" x14ac:dyDescent="0.25">
      <c r="B31" s="14" t="s">
        <v>62</v>
      </c>
      <c r="C31" s="38">
        <v>0</v>
      </c>
      <c r="D31" s="38">
        <v>0</v>
      </c>
      <c r="E31" s="38">
        <f t="shared" ref="E31:O31" si="2">frac_wheat</f>
        <v>0.1</v>
      </c>
      <c r="F31" s="38">
        <f t="shared" si="2"/>
        <v>0.1</v>
      </c>
      <c r="G31" s="38">
        <f t="shared" si="2"/>
        <v>0.1</v>
      </c>
      <c r="H31" s="38">
        <f t="shared" si="2"/>
        <v>0.1</v>
      </c>
      <c r="I31" s="38">
        <f t="shared" si="2"/>
        <v>0.1</v>
      </c>
      <c r="J31" s="38">
        <f t="shared" si="2"/>
        <v>0.1</v>
      </c>
      <c r="K31" s="38">
        <f t="shared" si="2"/>
        <v>0.1</v>
      </c>
      <c r="L31" s="38">
        <f t="shared" si="2"/>
        <v>0.1</v>
      </c>
      <c r="M31" s="38">
        <f t="shared" si="2"/>
        <v>0.1</v>
      </c>
      <c r="N31" s="38">
        <f t="shared" si="2"/>
        <v>0.1</v>
      </c>
      <c r="O31" s="38">
        <f t="shared" si="2"/>
        <v>0.1</v>
      </c>
    </row>
    <row r="32" spans="1:15" ht="15.75" customHeight="1" x14ac:dyDescent="0.25">
      <c r="B32" s="14" t="s">
        <v>47</v>
      </c>
      <c r="C32" s="38">
        <v>0</v>
      </c>
      <c r="D32" s="38">
        <v>0</v>
      </c>
      <c r="E32" s="38">
        <v>1</v>
      </c>
      <c r="F32" s="38">
        <v>1</v>
      </c>
      <c r="G32" s="38">
        <v>1</v>
      </c>
      <c r="H32" s="38">
        <v>1</v>
      </c>
      <c r="I32" s="38">
        <v>1</v>
      </c>
      <c r="J32" s="38">
        <v>1</v>
      </c>
      <c r="K32" s="38">
        <v>1</v>
      </c>
      <c r="L32" s="38">
        <v>1</v>
      </c>
      <c r="M32" s="38">
        <v>1</v>
      </c>
      <c r="N32" s="38">
        <v>1</v>
      </c>
      <c r="O32" s="38">
        <v>1</v>
      </c>
    </row>
    <row r="33" spans="1:15" ht="15.75" customHeight="1" x14ac:dyDescent="0.25">
      <c r="B33" s="14" t="s">
        <v>34</v>
      </c>
      <c r="C33" s="38">
        <f t="shared" ref="C33:O33" si="3">frac_malaria_risk</f>
        <v>0.25919999999999999</v>
      </c>
      <c r="D33" s="38">
        <f t="shared" si="3"/>
        <v>0.25919999999999999</v>
      </c>
      <c r="E33" s="38">
        <f t="shared" si="3"/>
        <v>0.25919999999999999</v>
      </c>
      <c r="F33" s="38">
        <f t="shared" si="3"/>
        <v>0.25919999999999999</v>
      </c>
      <c r="G33" s="38">
        <f t="shared" si="3"/>
        <v>0.25919999999999999</v>
      </c>
      <c r="H33" s="38">
        <f t="shared" si="3"/>
        <v>0.25919999999999999</v>
      </c>
      <c r="I33" s="38">
        <f t="shared" si="3"/>
        <v>0.25919999999999999</v>
      </c>
      <c r="J33" s="38">
        <f t="shared" si="3"/>
        <v>0.25919999999999999</v>
      </c>
      <c r="K33" s="38">
        <f t="shared" si="3"/>
        <v>0.25919999999999999</v>
      </c>
      <c r="L33" s="38">
        <f t="shared" si="3"/>
        <v>0.25919999999999999</v>
      </c>
      <c r="M33" s="38">
        <f t="shared" si="3"/>
        <v>0.25919999999999999</v>
      </c>
      <c r="N33" s="38">
        <f t="shared" si="3"/>
        <v>0.25919999999999999</v>
      </c>
      <c r="O33" s="38">
        <f t="shared" si="3"/>
        <v>0.25919999999999999</v>
      </c>
    </row>
    <row r="34" spans="1:15" ht="15.75" customHeight="1" x14ac:dyDescent="0.25">
      <c r="B34" s="36" t="s">
        <v>83</v>
      </c>
      <c r="C34" s="38">
        <v>1</v>
      </c>
      <c r="D34" s="38">
        <v>1</v>
      </c>
      <c r="E34" s="38">
        <v>1</v>
      </c>
      <c r="F34" s="38">
        <v>1</v>
      </c>
      <c r="G34" s="38">
        <v>1</v>
      </c>
      <c r="H34" s="38">
        <v>1</v>
      </c>
      <c r="I34" s="38">
        <v>1</v>
      </c>
      <c r="J34" s="38">
        <v>1</v>
      </c>
      <c r="K34" s="38">
        <v>1</v>
      </c>
      <c r="L34" s="38">
        <v>1</v>
      </c>
      <c r="M34" s="38">
        <v>1</v>
      </c>
      <c r="N34" s="38">
        <v>1</v>
      </c>
      <c r="O34" s="38">
        <v>1</v>
      </c>
    </row>
    <row r="35" spans="1:15" ht="15.75" customHeight="1" x14ac:dyDescent="0.25">
      <c r="A35" s="5"/>
      <c r="B35" s="36" t="s">
        <v>82</v>
      </c>
      <c r="C35" s="38">
        <v>1</v>
      </c>
      <c r="D35" s="38">
        <v>1</v>
      </c>
      <c r="E35" s="38">
        <v>1</v>
      </c>
      <c r="F35" s="38">
        <v>1</v>
      </c>
      <c r="G35" s="38">
        <v>1</v>
      </c>
      <c r="H35" s="38">
        <v>1</v>
      </c>
      <c r="I35" s="38">
        <v>1</v>
      </c>
      <c r="J35" s="38">
        <v>1</v>
      </c>
      <c r="K35" s="38">
        <v>1</v>
      </c>
      <c r="L35" s="38">
        <v>1</v>
      </c>
      <c r="M35" s="38">
        <v>1</v>
      </c>
      <c r="N35" s="38">
        <v>1</v>
      </c>
      <c r="O35" s="38">
        <v>1</v>
      </c>
    </row>
    <row r="36" spans="1:15" s="5" customFormat="1" ht="15.75" customHeight="1" x14ac:dyDescent="0.25">
      <c r="B36" s="36" t="s">
        <v>81</v>
      </c>
      <c r="C36" s="38">
        <v>1</v>
      </c>
      <c r="D36" s="38">
        <v>1</v>
      </c>
      <c r="E36" s="38">
        <v>1</v>
      </c>
      <c r="F36" s="38">
        <v>1</v>
      </c>
      <c r="G36" s="38">
        <v>1</v>
      </c>
      <c r="H36" s="38">
        <v>1</v>
      </c>
      <c r="I36" s="38">
        <v>1</v>
      </c>
      <c r="J36" s="38">
        <v>1</v>
      </c>
      <c r="K36" s="38">
        <v>1</v>
      </c>
      <c r="L36" s="38">
        <v>1</v>
      </c>
      <c r="M36" s="38">
        <v>1</v>
      </c>
      <c r="N36" s="38">
        <v>1</v>
      </c>
      <c r="O36" s="38">
        <v>1</v>
      </c>
    </row>
    <row r="37" spans="1:15" s="5" customFormat="1" ht="15.75" customHeight="1" x14ac:dyDescent="0.25">
      <c r="B37" s="36" t="s">
        <v>79</v>
      </c>
      <c r="C37" s="38">
        <v>1</v>
      </c>
      <c r="D37" s="38">
        <v>1</v>
      </c>
      <c r="E37" s="38">
        <v>1</v>
      </c>
      <c r="F37" s="38">
        <v>1</v>
      </c>
      <c r="G37" s="38">
        <v>1</v>
      </c>
      <c r="H37" s="38">
        <v>1</v>
      </c>
      <c r="I37" s="38">
        <v>1</v>
      </c>
      <c r="J37" s="38">
        <v>1</v>
      </c>
      <c r="K37" s="38">
        <v>1</v>
      </c>
      <c r="L37" s="38">
        <v>1</v>
      </c>
      <c r="M37" s="38">
        <v>1</v>
      </c>
      <c r="N37" s="38">
        <v>1</v>
      </c>
      <c r="O37" s="38">
        <v>1</v>
      </c>
    </row>
    <row r="38" spans="1:15" s="5" customFormat="1" ht="15.75" customHeight="1" x14ac:dyDescent="0.25">
      <c r="B38" s="36" t="s">
        <v>80</v>
      </c>
      <c r="C38" s="38">
        <v>1</v>
      </c>
      <c r="D38" s="38">
        <v>1</v>
      </c>
      <c r="E38" s="38">
        <v>1</v>
      </c>
      <c r="F38" s="38">
        <v>1</v>
      </c>
      <c r="G38" s="38">
        <v>1</v>
      </c>
      <c r="H38" s="38">
        <v>1</v>
      </c>
      <c r="I38" s="38">
        <v>1</v>
      </c>
      <c r="J38" s="38">
        <v>1</v>
      </c>
      <c r="K38" s="38">
        <v>1</v>
      </c>
      <c r="L38" s="38">
        <v>1</v>
      </c>
      <c r="M38" s="38">
        <v>1</v>
      </c>
      <c r="N38" s="38">
        <v>1</v>
      </c>
      <c r="O38" s="38">
        <v>1</v>
      </c>
    </row>
    <row r="39" spans="1:15" ht="15.75" customHeight="1" x14ac:dyDescent="0.25">
      <c r="B39" s="36"/>
    </row>
  </sheetData>
  <sortState ref="B14:O21">
    <sortCondition ref="B14:B21"/>
  </sortState>
  <pageMargins left="0.75" right="0.75" top="1" bottom="1" header="0.5" footer="0.5"/>
  <pageSetup paperSize="9" orientation="portrait" horizontalDpi="4294967292" verticalDpi="429496729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>
    <tabColor theme="0" tint="-0.249977111117893"/>
  </sheetPr>
  <dimension ref="A1:E11"/>
  <sheetViews>
    <sheetView workbookViewId="0">
      <selection activeCell="E2" sqref="E2:E10"/>
    </sheetView>
  </sheetViews>
  <sheetFormatPr defaultColWidth="11.33203125" defaultRowHeight="13.2" x14ac:dyDescent="0.25"/>
  <cols>
    <col min="1" max="1" width="33.5546875" style="40" customWidth="1"/>
    <col min="2" max="2" width="12.33203125" style="40" customWidth="1"/>
    <col min="3" max="4" width="11.33203125" style="40"/>
    <col min="5" max="5" width="17.33203125" style="40" customWidth="1"/>
    <col min="6" max="16384" width="11.33203125" style="40"/>
  </cols>
  <sheetData>
    <row r="1" spans="1:5" x14ac:dyDescent="0.25">
      <c r="A1" s="45" t="s">
        <v>163</v>
      </c>
      <c r="B1" s="45" t="s">
        <v>162</v>
      </c>
      <c r="C1" s="45" t="s">
        <v>161</v>
      </c>
      <c r="D1" s="45" t="s">
        <v>160</v>
      </c>
      <c r="E1" s="45" t="s">
        <v>159</v>
      </c>
    </row>
    <row r="2" spans="1:5" ht="13.8" x14ac:dyDescent="0.25">
      <c r="A2" s="44" t="s">
        <v>158</v>
      </c>
      <c r="B2" s="43">
        <v>0.9</v>
      </c>
      <c r="C2" s="42">
        <v>0.09</v>
      </c>
      <c r="D2" s="40">
        <v>0.8</v>
      </c>
      <c r="E2" s="40">
        <f t="shared" ref="E2:E10" si="0">C2*D2</f>
        <v>7.1999999999999995E-2</v>
      </c>
    </row>
    <row r="3" spans="1:5" ht="13.8" x14ac:dyDescent="0.25">
      <c r="A3" s="44" t="s">
        <v>157</v>
      </c>
      <c r="B3" s="43">
        <v>1</v>
      </c>
      <c r="C3" s="42">
        <v>0.02</v>
      </c>
      <c r="D3" s="40">
        <v>1.9</v>
      </c>
      <c r="E3" s="40">
        <f t="shared" si="0"/>
        <v>3.7999999999999999E-2</v>
      </c>
    </row>
    <row r="4" spans="1:5" ht="13.8" x14ac:dyDescent="0.25">
      <c r="A4" s="44" t="s">
        <v>156</v>
      </c>
      <c r="B4" s="43">
        <v>1</v>
      </c>
      <c r="C4" s="42">
        <v>0.08</v>
      </c>
      <c r="D4" s="40">
        <v>2</v>
      </c>
      <c r="E4" s="40">
        <f t="shared" si="0"/>
        <v>0.16</v>
      </c>
    </row>
    <row r="5" spans="1:5" ht="13.8" x14ac:dyDescent="0.25">
      <c r="A5" s="44" t="s">
        <v>155</v>
      </c>
      <c r="B5" s="43">
        <v>1</v>
      </c>
      <c r="C5" s="42">
        <v>0.18</v>
      </c>
      <c r="D5" s="40">
        <v>0.7</v>
      </c>
      <c r="E5" s="40">
        <f t="shared" si="0"/>
        <v>0.126</v>
      </c>
    </row>
    <row r="6" spans="1:5" ht="13.8" x14ac:dyDescent="0.25">
      <c r="A6" s="44" t="s">
        <v>154</v>
      </c>
      <c r="B6" s="43">
        <v>1</v>
      </c>
      <c r="C6" s="42">
        <v>0.02</v>
      </c>
      <c r="D6" s="40">
        <v>0.7</v>
      </c>
      <c r="E6" s="40">
        <f t="shared" si="0"/>
        <v>1.3999999999999999E-2</v>
      </c>
    </row>
    <row r="7" spans="1:5" ht="13.8" x14ac:dyDescent="0.25">
      <c r="A7" s="44" t="s">
        <v>153</v>
      </c>
      <c r="B7" s="43">
        <v>0.93</v>
      </c>
      <c r="C7" s="42">
        <v>0.45</v>
      </c>
      <c r="D7" s="40">
        <v>0.9</v>
      </c>
      <c r="E7" s="40">
        <f t="shared" si="0"/>
        <v>0.40500000000000003</v>
      </c>
    </row>
    <row r="8" spans="1:5" ht="13.8" x14ac:dyDescent="0.25">
      <c r="A8" s="44" t="s">
        <v>152</v>
      </c>
      <c r="B8" s="43">
        <v>0.5</v>
      </c>
      <c r="C8" s="42">
        <v>0.03</v>
      </c>
      <c r="D8" s="40">
        <v>0</v>
      </c>
      <c r="E8" s="40">
        <f t="shared" si="0"/>
        <v>0</v>
      </c>
    </row>
    <row r="9" spans="1:5" ht="13.8" x14ac:dyDescent="0.25">
      <c r="A9" s="44" t="s">
        <v>151</v>
      </c>
      <c r="B9" s="43">
        <v>0.5</v>
      </c>
      <c r="C9" s="42">
        <v>0.11</v>
      </c>
      <c r="D9" s="40">
        <v>0</v>
      </c>
      <c r="E9" s="40">
        <f t="shared" si="0"/>
        <v>0</v>
      </c>
    </row>
    <row r="10" spans="1:5" ht="13.8" x14ac:dyDescent="0.25">
      <c r="A10" s="44" t="s">
        <v>150</v>
      </c>
      <c r="B10" s="43">
        <v>0.98</v>
      </c>
      <c r="C10" s="42">
        <v>0.01</v>
      </c>
      <c r="D10" s="40">
        <v>0.6</v>
      </c>
      <c r="E10" s="40">
        <f t="shared" si="0"/>
        <v>6.0000000000000001E-3</v>
      </c>
    </row>
    <row r="11" spans="1:5" x14ac:dyDescent="0.25">
      <c r="C11" s="41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7600"/>
  </sheetPr>
  <dimension ref="A1:F60"/>
  <sheetViews>
    <sheetView tabSelected="1" zoomScale="119" zoomScaleNormal="115" workbookViewId="0">
      <selection activeCell="C20" sqref="C20"/>
    </sheetView>
  </sheetViews>
  <sheetFormatPr defaultColWidth="14.33203125" defaultRowHeight="15.75" customHeight="1" x14ac:dyDescent="0.25"/>
  <cols>
    <col min="1" max="1" width="30.6640625" style="15" customWidth="1"/>
    <col min="2" max="2" width="38.5546875" style="18" customWidth="1"/>
    <col min="3" max="3" width="14.33203125" style="15" customWidth="1"/>
    <col min="4" max="4" width="19.88671875" style="15" customWidth="1"/>
    <col min="5" max="16384" width="14.33203125" style="15"/>
  </cols>
  <sheetData>
    <row r="1" spans="1:5" ht="27" customHeight="1" x14ac:dyDescent="0.3">
      <c r="A1" s="1" t="s">
        <v>100</v>
      </c>
      <c r="B1" s="46" t="s">
        <v>164</v>
      </c>
      <c r="C1" s="111" t="s">
        <v>200</v>
      </c>
      <c r="D1" s="84"/>
      <c r="E1" s="85"/>
    </row>
    <row r="2" spans="1:5" ht="16.05" customHeight="1" x14ac:dyDescent="0.25">
      <c r="A2" s="15" t="s">
        <v>189</v>
      </c>
      <c r="B2" s="46"/>
    </row>
    <row r="3" spans="1:5" ht="16.05" customHeight="1" x14ac:dyDescent="0.25">
      <c r="A3" s="1"/>
      <c r="B3" s="9" t="s">
        <v>191</v>
      </c>
      <c r="C3" s="70">
        <v>2017</v>
      </c>
    </row>
    <row r="4" spans="1:5" ht="16.05" customHeight="1" x14ac:dyDescent="0.25">
      <c r="A4" s="1"/>
      <c r="B4" s="12" t="s">
        <v>190</v>
      </c>
      <c r="C4" s="71">
        <v>2030</v>
      </c>
    </row>
    <row r="5" spans="1:5" ht="16.05" customHeight="1" x14ac:dyDescent="0.25">
      <c r="A5" s="1"/>
      <c r="B5" s="46"/>
    </row>
    <row r="6" spans="1:5" ht="15" customHeight="1" x14ac:dyDescent="0.25">
      <c r="A6" s="15" t="s">
        <v>48</v>
      </c>
    </row>
    <row r="7" spans="1:5" ht="15" customHeight="1" x14ac:dyDescent="0.25">
      <c r="B7" s="18" t="s">
        <v>199</v>
      </c>
      <c r="C7" s="78">
        <v>386710.55237870652</v>
      </c>
    </row>
    <row r="8" spans="1:5" ht="15" customHeight="1" x14ac:dyDescent="0.3">
      <c r="B8" s="9" t="s">
        <v>106</v>
      </c>
      <c r="C8" s="106">
        <v>0.57999999999999996</v>
      </c>
      <c r="D8" s="86"/>
    </row>
    <row r="9" spans="1:5" ht="38.25" customHeight="1" x14ac:dyDescent="0.25">
      <c r="A9" s="92"/>
      <c r="B9" s="12" t="s">
        <v>107</v>
      </c>
      <c r="C9" s="102">
        <v>0.25919999999999999</v>
      </c>
      <c r="D9" s="86"/>
    </row>
    <row r="10" spans="1:5" ht="15" customHeight="1" x14ac:dyDescent="0.25">
      <c r="A10" s="92"/>
      <c r="B10" s="12" t="s">
        <v>105</v>
      </c>
      <c r="C10" s="101">
        <v>0.5857</v>
      </c>
    </row>
    <row r="11" spans="1:5" ht="15" customHeight="1" x14ac:dyDescent="0.25">
      <c r="A11" s="92"/>
      <c r="B11" s="9" t="s">
        <v>108</v>
      </c>
      <c r="C11" s="101">
        <v>0.49070000000000003</v>
      </c>
      <c r="D11" s="86"/>
    </row>
    <row r="12" spans="1:5" ht="15" customHeight="1" x14ac:dyDescent="0.25">
      <c r="A12" s="92"/>
      <c r="B12" s="9" t="s">
        <v>109</v>
      </c>
      <c r="C12" s="101">
        <v>0.26100000000000001</v>
      </c>
      <c r="D12" s="86"/>
    </row>
    <row r="13" spans="1:5" ht="15" customHeight="1" x14ac:dyDescent="0.25">
      <c r="A13" s="92"/>
      <c r="B13" s="9" t="s">
        <v>110</v>
      </c>
      <c r="C13" s="101">
        <v>0.20399999999999999</v>
      </c>
      <c r="D13" s="86"/>
    </row>
    <row r="14" spans="1:5" ht="15" customHeight="1" x14ac:dyDescent="0.25">
      <c r="B14" s="15"/>
    </row>
    <row r="15" spans="1:5" ht="15" customHeight="1" x14ac:dyDescent="0.25">
      <c r="A15" s="15" t="s">
        <v>30</v>
      </c>
      <c r="B15" s="19"/>
    </row>
    <row r="16" spans="1:5" ht="15" customHeight="1" x14ac:dyDescent="0.25">
      <c r="B16" s="12" t="s">
        <v>94</v>
      </c>
      <c r="C16" s="102">
        <v>0.59699999999999998</v>
      </c>
    </row>
    <row r="17" spans="1:6" ht="15" customHeight="1" x14ac:dyDescent="0.25">
      <c r="B17" s="12" t="s">
        <v>95</v>
      </c>
      <c r="C17" s="102">
        <v>0.1</v>
      </c>
    </row>
    <row r="18" spans="1:6" ht="15" customHeight="1" x14ac:dyDescent="0.25">
      <c r="B18" s="12" t="s">
        <v>96</v>
      </c>
      <c r="C18" s="102">
        <v>0.1</v>
      </c>
    </row>
    <row r="19" spans="1:6" ht="15" customHeight="1" x14ac:dyDescent="0.25">
      <c r="B19" s="12" t="s">
        <v>97</v>
      </c>
      <c r="C19" s="102">
        <v>0.1</v>
      </c>
    </row>
    <row r="20" spans="1:6" ht="15" customHeight="1" x14ac:dyDescent="0.25">
      <c r="B20" s="12" t="s">
        <v>98</v>
      </c>
      <c r="C20" s="102">
        <v>0.1</v>
      </c>
    </row>
    <row r="21" spans="1:6" ht="15" customHeight="1" x14ac:dyDescent="0.25">
      <c r="B21" s="15"/>
      <c r="C21" s="91"/>
    </row>
    <row r="22" spans="1:6" ht="15" customHeight="1" x14ac:dyDescent="0.25">
      <c r="A22" s="15" t="s">
        <v>99</v>
      </c>
      <c r="C22" s="91"/>
    </row>
    <row r="23" spans="1:6" ht="15" customHeight="1" x14ac:dyDescent="0.3">
      <c r="A23" s="92"/>
      <c r="B23" s="20" t="s">
        <v>101</v>
      </c>
      <c r="C23" s="101">
        <v>0.29320000000000002</v>
      </c>
      <c r="D23" s="89"/>
      <c r="E23" s="87"/>
    </row>
    <row r="24" spans="1:6" ht="15" customHeight="1" x14ac:dyDescent="0.3">
      <c r="A24" s="92"/>
      <c r="B24" s="20" t="s">
        <v>102</v>
      </c>
      <c r="C24" s="101">
        <v>0.44180000000000003</v>
      </c>
      <c r="D24" s="89"/>
      <c r="E24" s="87"/>
    </row>
    <row r="25" spans="1:6" ht="15" customHeight="1" x14ac:dyDescent="0.3">
      <c r="A25" s="92"/>
      <c r="B25" s="20" t="s">
        <v>103</v>
      </c>
      <c r="C25" s="101">
        <v>0.2049</v>
      </c>
      <c r="D25" s="89"/>
      <c r="E25" s="87"/>
    </row>
    <row r="26" spans="1:6" ht="15" customHeight="1" x14ac:dyDescent="0.3">
      <c r="A26" s="92"/>
      <c r="B26" s="20" t="s">
        <v>104</v>
      </c>
      <c r="C26" s="101">
        <v>0.06</v>
      </c>
      <c r="D26" s="89"/>
      <c r="E26" s="87"/>
    </row>
    <row r="27" spans="1:6" ht="15" customHeight="1" x14ac:dyDescent="0.25">
      <c r="B27" s="20"/>
      <c r="C27" s="91"/>
    </row>
    <row r="28" spans="1:6" ht="15" customHeight="1" x14ac:dyDescent="0.25">
      <c r="A28" s="15" t="s">
        <v>194</v>
      </c>
      <c r="B28" s="20"/>
      <c r="C28" s="91"/>
    </row>
    <row r="29" spans="1:6" ht="14.25" customHeight="1" x14ac:dyDescent="0.25">
      <c r="A29" s="92"/>
      <c r="B29" s="32" t="s">
        <v>75</v>
      </c>
      <c r="C29" s="103">
        <v>0.2266</v>
      </c>
      <c r="D29" s="86"/>
    </row>
    <row r="30" spans="1:6" ht="14.25" customHeight="1" x14ac:dyDescent="0.3">
      <c r="A30" s="92"/>
      <c r="B30" s="32" t="s">
        <v>76</v>
      </c>
      <c r="C30" s="103">
        <v>5.67E-2</v>
      </c>
      <c r="D30" s="86"/>
      <c r="E30" s="87"/>
      <c r="F30" s="86"/>
    </row>
    <row r="31" spans="1:6" ht="14.25" customHeight="1" x14ac:dyDescent="0.3">
      <c r="A31" s="92"/>
      <c r="B31" s="32" t="s">
        <v>77</v>
      </c>
      <c r="C31" s="103">
        <v>0.1109</v>
      </c>
      <c r="D31" s="86"/>
      <c r="E31" s="87"/>
      <c r="F31" s="86"/>
    </row>
    <row r="32" spans="1:6" ht="14.25" customHeight="1" x14ac:dyDescent="0.25">
      <c r="A32" s="92"/>
      <c r="B32" s="32" t="s">
        <v>78</v>
      </c>
      <c r="C32" s="103">
        <v>0.60580000000000001</v>
      </c>
      <c r="D32" s="86"/>
    </row>
    <row r="33" spans="1:5" ht="13.2" x14ac:dyDescent="0.25">
      <c r="B33" s="34" t="s">
        <v>129</v>
      </c>
      <c r="C33" s="112">
        <f>SUM(C29:C32)</f>
        <v>1</v>
      </c>
    </row>
    <row r="34" spans="1:5" ht="15" customHeight="1" x14ac:dyDescent="0.25">
      <c r="C34" s="105"/>
    </row>
    <row r="35" spans="1:5" ht="15" customHeight="1" x14ac:dyDescent="0.25">
      <c r="A35" s="4" t="s">
        <v>135</v>
      </c>
      <c r="C35" s="105"/>
    </row>
    <row r="36" spans="1:5" ht="15" customHeight="1" x14ac:dyDescent="0.25">
      <c r="A36" s="15" t="s">
        <v>74</v>
      </c>
      <c r="B36" s="9"/>
      <c r="C36" s="105"/>
    </row>
    <row r="37" spans="1:5" ht="15" customHeight="1" x14ac:dyDescent="0.25">
      <c r="A37" s="92"/>
      <c r="B37" s="47" t="s">
        <v>92</v>
      </c>
      <c r="C37" s="104">
        <v>11.2408</v>
      </c>
      <c r="D37" s="88"/>
      <c r="E37" s="88"/>
    </row>
    <row r="38" spans="1:5" ht="15" customHeight="1" x14ac:dyDescent="0.25">
      <c r="A38" s="92"/>
      <c r="B38" s="18" t="s">
        <v>91</v>
      </c>
      <c r="C38" s="104">
        <v>28.0334</v>
      </c>
      <c r="D38" s="88"/>
      <c r="E38" s="88"/>
    </row>
    <row r="39" spans="1:5" ht="15" customHeight="1" x14ac:dyDescent="0.25">
      <c r="A39" s="92"/>
      <c r="B39" s="18" t="s">
        <v>90</v>
      </c>
      <c r="C39" s="104">
        <v>65.945100000000011</v>
      </c>
      <c r="D39" s="88"/>
      <c r="E39" s="96"/>
    </row>
    <row r="40" spans="1:5" ht="15" customHeight="1" x14ac:dyDescent="0.3">
      <c r="B40" s="18" t="s">
        <v>201</v>
      </c>
      <c r="C40" s="104">
        <v>84.600000000000009</v>
      </c>
      <c r="D40" s="86"/>
      <c r="E40" s="97"/>
    </row>
    <row r="41" spans="1:5" ht="26.7" customHeight="1" x14ac:dyDescent="0.25">
      <c r="B41" s="18" t="s">
        <v>89</v>
      </c>
      <c r="C41" s="102">
        <v>0.13</v>
      </c>
      <c r="D41" s="86"/>
      <c r="E41" s="98"/>
    </row>
    <row r="42" spans="1:5" ht="15" customHeight="1" x14ac:dyDescent="0.25">
      <c r="B42" s="47" t="s">
        <v>93</v>
      </c>
      <c r="C42" s="104">
        <v>27.27</v>
      </c>
      <c r="E42" s="99"/>
    </row>
    <row r="43" spans="1:5" ht="15.75" customHeight="1" x14ac:dyDescent="0.25">
      <c r="C43" s="105"/>
      <c r="E43" s="100"/>
    </row>
    <row r="44" spans="1:5" ht="15.75" customHeight="1" x14ac:dyDescent="0.25">
      <c r="A44" s="15" t="s">
        <v>133</v>
      </c>
      <c r="C44" s="105"/>
    </row>
    <row r="45" spans="1:5" ht="15.75" customHeight="1" x14ac:dyDescent="0.25">
      <c r="B45" s="18" t="s">
        <v>9</v>
      </c>
      <c r="C45" s="102">
        <v>1.9099999999999999E-2</v>
      </c>
    </row>
    <row r="46" spans="1:5" ht="15.75" customHeight="1" x14ac:dyDescent="0.25">
      <c r="B46" s="18" t="s">
        <v>11</v>
      </c>
      <c r="C46" s="102">
        <v>9.98E-2</v>
      </c>
    </row>
    <row r="47" spans="1:5" ht="15.75" customHeight="1" x14ac:dyDescent="0.25">
      <c r="B47" s="18" t="s">
        <v>12</v>
      </c>
      <c r="C47" s="102">
        <v>0.2</v>
      </c>
    </row>
    <row r="48" spans="1:5" ht="15" customHeight="1" x14ac:dyDescent="0.25">
      <c r="B48" s="18" t="s">
        <v>26</v>
      </c>
      <c r="C48" s="113">
        <f>1-term_SGA-preterm_AGA-preterm_SGA</f>
        <v>0.68110000000000004</v>
      </c>
    </row>
    <row r="50" spans="1:5" ht="15.75" customHeight="1" x14ac:dyDescent="0.25">
      <c r="A50" s="15" t="s">
        <v>72</v>
      </c>
    </row>
    <row r="51" spans="1:5" ht="15.75" customHeight="1" x14ac:dyDescent="0.25">
      <c r="B51" s="18" t="s">
        <v>124</v>
      </c>
      <c r="C51" s="7">
        <v>3.3</v>
      </c>
    </row>
    <row r="52" spans="1:5" ht="15" customHeight="1" x14ac:dyDescent="0.25">
      <c r="B52" s="18" t="s">
        <v>125</v>
      </c>
      <c r="C52" s="7">
        <v>3.3</v>
      </c>
    </row>
    <row r="53" spans="1:5" ht="15.75" customHeight="1" x14ac:dyDescent="0.25">
      <c r="B53" s="18" t="s">
        <v>126</v>
      </c>
      <c r="C53" s="7">
        <v>3.3</v>
      </c>
    </row>
    <row r="54" spans="1:5" ht="15.75" customHeight="1" x14ac:dyDescent="0.25">
      <c r="B54" s="18" t="s">
        <v>127</v>
      </c>
      <c r="C54" s="7">
        <v>3.3</v>
      </c>
    </row>
    <row r="55" spans="1:5" ht="15.75" customHeight="1" x14ac:dyDescent="0.25">
      <c r="B55" s="18" t="s">
        <v>128</v>
      </c>
      <c r="C55" s="7">
        <v>3.3</v>
      </c>
    </row>
    <row r="57" spans="1:5" ht="15.75" customHeight="1" x14ac:dyDescent="0.25">
      <c r="A57" s="15" t="s">
        <v>134</v>
      </c>
    </row>
    <row r="58" spans="1:5" ht="15.75" customHeight="1" x14ac:dyDescent="0.3">
      <c r="B58" s="9" t="s">
        <v>111</v>
      </c>
      <c r="C58" s="101">
        <v>0.23499999999999999</v>
      </c>
      <c r="D58" s="86"/>
      <c r="E58" s="87"/>
    </row>
    <row r="59" spans="1:5" ht="65.7" customHeight="1" x14ac:dyDescent="0.25">
      <c r="B59" s="18" t="s">
        <v>132</v>
      </c>
      <c r="C59" s="107">
        <v>0.43519999999999998</v>
      </c>
    </row>
    <row r="60" spans="1:5" ht="15.75" customHeight="1" x14ac:dyDescent="0.25">
      <c r="C60" s="91"/>
    </row>
  </sheetData>
  <pageMargins left="0.75" right="0.75" top="1" bottom="1" header="0.5" footer="0.5"/>
  <pageSetup paperSize="9" orientation="portrait" horizontalDpi="4294967292" vertic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tabColor rgb="FF007600"/>
  </sheetPr>
  <dimension ref="A1:I15"/>
  <sheetViews>
    <sheetView zoomScaleNormal="100" workbookViewId="0">
      <selection activeCell="A16" sqref="A16:XFD40"/>
    </sheetView>
  </sheetViews>
  <sheetFormatPr defaultColWidth="14.33203125" defaultRowHeight="15.75" customHeight="1" x14ac:dyDescent="0.25"/>
  <cols>
    <col min="1" max="1" width="8.33203125" style="15" customWidth="1"/>
    <col min="2" max="9" width="16.77734375" style="15" customWidth="1"/>
    <col min="10" max="16384" width="14.33203125" style="15"/>
  </cols>
  <sheetData>
    <row r="1" spans="1:9" s="21" customFormat="1" ht="30" customHeight="1" x14ac:dyDescent="0.25">
      <c r="A1" s="33" t="s">
        <v>0</v>
      </c>
      <c r="B1" s="27" t="s">
        <v>112</v>
      </c>
      <c r="C1" s="24" t="s">
        <v>49</v>
      </c>
      <c r="D1" s="24" t="s">
        <v>50</v>
      </c>
      <c r="E1" s="24" t="s">
        <v>51</v>
      </c>
      <c r="F1" s="24" t="s">
        <v>52</v>
      </c>
      <c r="G1" s="24" t="s">
        <v>113</v>
      </c>
      <c r="H1" s="24" t="s">
        <v>130</v>
      </c>
      <c r="I1" s="24" t="s">
        <v>36</v>
      </c>
    </row>
    <row r="2" spans="1:9" ht="15.75" customHeight="1" x14ac:dyDescent="0.25">
      <c r="A2" s="9">
        <v>2017</v>
      </c>
      <c r="B2" s="77">
        <v>102596.56291756709</v>
      </c>
      <c r="C2" s="78">
        <v>139155.65448147137</v>
      </c>
      <c r="D2" s="78">
        <v>204763.04404745574</v>
      </c>
      <c r="E2" s="78">
        <v>156087.93423045881</v>
      </c>
      <c r="F2" s="78">
        <v>108477.33932927612</v>
      </c>
      <c r="G2" s="23">
        <f t="shared" ref="G2:G15" si="0">C2+D2+E2+F2</f>
        <v>608483.97208866198</v>
      </c>
      <c r="H2" s="23">
        <f>(B2 + stillbirth*B2/(1000-stillbirth))/(1-abortion)</f>
        <v>121233.11074326432</v>
      </c>
      <c r="I2" s="23">
        <f t="shared" ref="I2:I13" si="1">G2-H2</f>
        <v>487250.86134539766</v>
      </c>
    </row>
    <row r="3" spans="1:9" ht="15.75" customHeight="1" x14ac:dyDescent="0.25">
      <c r="A3" s="9">
        <v>2018</v>
      </c>
      <c r="B3" s="77">
        <v>105312.61295189029</v>
      </c>
      <c r="C3" s="78">
        <v>144529.47736378261</v>
      </c>
      <c r="D3" s="78">
        <v>211459.28114821576</v>
      </c>
      <c r="E3" s="78">
        <v>161390.35299363764</v>
      </c>
      <c r="F3" s="78">
        <v>111868.66384255867</v>
      </c>
      <c r="G3" s="23">
        <f t="shared" si="0"/>
        <v>629247.77534819464</v>
      </c>
      <c r="H3" s="23">
        <f>(B3 + stillbirth*B3/(1000-stillbirth))/(1-abortion)</f>
        <v>124442.52814704142</v>
      </c>
      <c r="I3" s="23">
        <f t="shared" si="1"/>
        <v>504805.24720115319</v>
      </c>
    </row>
    <row r="4" spans="1:9" ht="15.75" customHeight="1" x14ac:dyDescent="0.25">
      <c r="A4" s="9">
        <v>2019</v>
      </c>
      <c r="B4" s="77">
        <v>107951.34495343493</v>
      </c>
      <c r="C4" s="78">
        <v>150146.39079194941</v>
      </c>
      <c r="D4" s="78">
        <v>218490.16415058158</v>
      </c>
      <c r="E4" s="78">
        <v>166910.84264527395</v>
      </c>
      <c r="F4" s="78">
        <v>115547.28641045338</v>
      </c>
      <c r="G4" s="23">
        <f t="shared" si="0"/>
        <v>651094.68399825832</v>
      </c>
      <c r="H4" s="23">
        <f>(B4 + stillbirth*B4/(1000-stillbirth))/(1-abortion)</f>
        <v>127560.58278618258</v>
      </c>
      <c r="I4" s="23">
        <f t="shared" si="1"/>
        <v>523534.10121207574</v>
      </c>
    </row>
    <row r="5" spans="1:9" ht="15.75" customHeight="1" x14ac:dyDescent="0.25">
      <c r="A5" s="9">
        <v>2020</v>
      </c>
      <c r="B5" s="77">
        <v>110542.88523138725</v>
      </c>
      <c r="C5" s="78">
        <v>155989.40779619684</v>
      </c>
      <c r="D5" s="78">
        <v>225921.17215634068</v>
      </c>
      <c r="E5" s="78">
        <v>172616.58291542146</v>
      </c>
      <c r="F5" s="78">
        <v>119810.01300104448</v>
      </c>
      <c r="G5" s="23">
        <f t="shared" si="0"/>
        <v>674337.17586900352</v>
      </c>
      <c r="H5" s="23">
        <f>(B5 + stillbirth*B5/(1000-stillbirth))/(1-abortion)</f>
        <v>130622.87337933877</v>
      </c>
      <c r="I5" s="23">
        <f t="shared" si="1"/>
        <v>543714.30248966475</v>
      </c>
    </row>
    <row r="6" spans="1:9" ht="15.75" customHeight="1" x14ac:dyDescent="0.25">
      <c r="A6" s="9">
        <v>2021</v>
      </c>
      <c r="B6" s="77">
        <v>113339.54932618118</v>
      </c>
      <c r="C6" s="78">
        <v>162025.45551395728</v>
      </c>
      <c r="D6" s="78">
        <v>233795.09859422036</v>
      </c>
      <c r="E6" s="78">
        <v>178494.09910273371</v>
      </c>
      <c r="F6" s="78">
        <v>123889.37785349632</v>
      </c>
      <c r="G6" s="23">
        <f t="shared" si="0"/>
        <v>698204.03106440778</v>
      </c>
      <c r="H6" s="23">
        <f>(B6 + stillbirth*B6/(1000-stillbirth))/(1-abortion)</f>
        <v>133927.5482950889</v>
      </c>
      <c r="I6" s="23">
        <f t="shared" si="1"/>
        <v>564276.48276931886</v>
      </c>
    </row>
    <row r="7" spans="1:9" ht="15.75" customHeight="1" x14ac:dyDescent="0.25">
      <c r="A7" s="9">
        <v>2022</v>
      </c>
      <c r="B7" s="77">
        <v>116102.05178816576</v>
      </c>
      <c r="C7" s="78">
        <v>168237.3467361264</v>
      </c>
      <c r="D7" s="78">
        <v>242112.52349563403</v>
      </c>
      <c r="E7" s="78">
        <v>184539.07647344621</v>
      </c>
      <c r="F7" s="78">
        <v>128151.85138175168</v>
      </c>
      <c r="G7" s="23">
        <f t="shared" si="0"/>
        <v>723040.79808695836</v>
      </c>
      <c r="H7" s="23">
        <f>(B7 + stillbirth*B7/(1000-stillbirth))/(1-abortion)</f>
        <v>137191.85615666318</v>
      </c>
      <c r="I7" s="23">
        <f t="shared" si="1"/>
        <v>585848.9419302952</v>
      </c>
    </row>
    <row r="8" spans="1:9" ht="15.75" customHeight="1" x14ac:dyDescent="0.25">
      <c r="A8" s="9">
        <v>2023</v>
      </c>
      <c r="B8" s="77">
        <v>118920.95636888244</v>
      </c>
      <c r="C8" s="78">
        <v>174578.55919184719</v>
      </c>
      <c r="D8" s="78">
        <v>250914.46797110114</v>
      </c>
      <c r="E8" s="78">
        <v>190731.00235884261</v>
      </c>
      <c r="F8" s="78">
        <v>132604.70009002308</v>
      </c>
      <c r="G8" s="23">
        <f t="shared" si="0"/>
        <v>748828.72961181402</v>
      </c>
      <c r="H8" s="23">
        <f>(B8 + stillbirth*B8/(1000-stillbirth))/(1-abortion)</f>
        <v>140522.81151706158</v>
      </c>
      <c r="I8" s="23">
        <f t="shared" si="1"/>
        <v>608305.91809475247</v>
      </c>
    </row>
    <row r="9" spans="1:9" ht="15.75" customHeight="1" x14ac:dyDescent="0.25">
      <c r="A9" s="9">
        <v>2024</v>
      </c>
      <c r="B9" s="77">
        <v>121973.57087577081</v>
      </c>
      <c r="C9" s="78">
        <v>181001.10218851391</v>
      </c>
      <c r="D9" s="78">
        <v>260245.33664771973</v>
      </c>
      <c r="E9" s="78">
        <v>197069.73529224205</v>
      </c>
      <c r="F9" s="78">
        <v>137247.85167478604</v>
      </c>
      <c r="G9" s="23">
        <f t="shared" si="0"/>
        <v>775564.02580326179</v>
      </c>
      <c r="H9" s="23">
        <f>(B9 + stillbirth*B9/(1000-stillbirth))/(1-abortion)</f>
        <v>144129.92994331371</v>
      </c>
      <c r="I9" s="23">
        <f t="shared" si="1"/>
        <v>631434.09585994808</v>
      </c>
    </row>
    <row r="10" spans="1:9" ht="15.75" customHeight="1" x14ac:dyDescent="0.25">
      <c r="A10" s="9">
        <v>2025</v>
      </c>
      <c r="B10" s="77">
        <v>125141.91599985003</v>
      </c>
      <c r="C10" s="78">
        <v>187475.80753048157</v>
      </c>
      <c r="D10" s="78">
        <v>270129.74863659492</v>
      </c>
      <c r="E10" s="78">
        <v>203594.28471087595</v>
      </c>
      <c r="F10" s="78">
        <v>142061.49497032675</v>
      </c>
      <c r="G10" s="23">
        <f t="shared" si="0"/>
        <v>803261.33584827918</v>
      </c>
      <c r="H10" s="23">
        <f>(B10 + stillbirth*B10/(1000-stillbirth))/(1-abortion)</f>
        <v>147873.80132045716</v>
      </c>
      <c r="I10" s="23">
        <f t="shared" si="1"/>
        <v>655387.53452782205</v>
      </c>
    </row>
    <row r="11" spans="1:9" ht="15.75" customHeight="1" x14ac:dyDescent="0.25">
      <c r="A11" s="9">
        <v>2026</v>
      </c>
      <c r="B11" s="77">
        <v>128225.70415182679</v>
      </c>
      <c r="C11" s="78">
        <v>193949.41155613773</v>
      </c>
      <c r="D11" s="78">
        <v>280511.50533855474</v>
      </c>
      <c r="E11" s="78">
        <v>210314.80084909181</v>
      </c>
      <c r="F11" s="78">
        <v>147030.26547768837</v>
      </c>
      <c r="G11" s="23">
        <f t="shared" si="0"/>
        <v>831805.98322147271</v>
      </c>
      <c r="H11" s="23">
        <f>(B11 + stillbirth*B11/(1000-stillbirth))/(1-abortion)</f>
        <v>151517.75604862627</v>
      </c>
      <c r="I11" s="23">
        <f t="shared" si="1"/>
        <v>680288.22717284644</v>
      </c>
    </row>
    <row r="12" spans="1:9" ht="15.75" customHeight="1" x14ac:dyDescent="0.25">
      <c r="A12" s="9">
        <v>2027</v>
      </c>
      <c r="B12" s="77">
        <v>131687.58056449043</v>
      </c>
      <c r="C12" s="78">
        <v>200401.72346643748</v>
      </c>
      <c r="D12" s="78">
        <v>291341.49742725858</v>
      </c>
      <c r="E12" s="78">
        <v>217280.26654511769</v>
      </c>
      <c r="F12" s="78">
        <v>152179.0356092999</v>
      </c>
      <c r="G12" s="23">
        <f t="shared" si="0"/>
        <v>861202.52304811368</v>
      </c>
      <c r="H12" s="23">
        <f>(B12 + stillbirth*B12/(1000-stillbirth))/(1-abortion)</f>
        <v>155608.47833581589</v>
      </c>
      <c r="I12" s="23">
        <f t="shared" si="1"/>
        <v>705594.04471229785</v>
      </c>
    </row>
    <row r="13" spans="1:9" ht="15.75" customHeight="1" x14ac:dyDescent="0.25">
      <c r="A13" s="9">
        <v>2028</v>
      </c>
      <c r="B13" s="77">
        <v>134908.23087568438</v>
      </c>
      <c r="C13" s="78">
        <v>206815.55605227657</v>
      </c>
      <c r="D13" s="78">
        <v>302544.28859498771</v>
      </c>
      <c r="E13" s="78">
        <v>224546.03063781763</v>
      </c>
      <c r="F13" s="78">
        <v>157521.90455243934</v>
      </c>
      <c r="G13" s="23">
        <f t="shared" si="0"/>
        <v>891427.77983752126</v>
      </c>
      <c r="H13" s="23">
        <f>(B13 + stillbirth*B13/(1000-stillbirth))/(1-abortion)</f>
        <v>159414.15607724295</v>
      </c>
      <c r="I13" s="23">
        <f t="shared" si="1"/>
        <v>732013.62376027834</v>
      </c>
    </row>
    <row r="14" spans="1:9" ht="15.75" customHeight="1" x14ac:dyDescent="0.25">
      <c r="A14" s="9">
        <v>2029</v>
      </c>
      <c r="B14" s="8">
        <v>138295.71563529613</v>
      </c>
      <c r="C14" s="22">
        <v>213170.41815561612</v>
      </c>
      <c r="D14" s="22">
        <v>314058.07327224</v>
      </c>
      <c r="E14" s="22">
        <v>232171.75669982019</v>
      </c>
      <c r="F14" s="22">
        <v>163067.98255119415</v>
      </c>
      <c r="G14" s="23">
        <f t="shared" si="0"/>
        <v>922468.23067887046</v>
      </c>
      <c r="H14" s="23">
        <f>(B14 + stillbirth*B14/(1000-stillbirth))/(1-abortion)</f>
        <v>163416.97355303983</v>
      </c>
      <c r="I14" s="23">
        <f t="shared" ref="I14:I15" si="2">G14-H14</f>
        <v>759051.25712583063</v>
      </c>
    </row>
    <row r="15" spans="1:9" ht="15.75" customHeight="1" x14ac:dyDescent="0.25">
      <c r="A15" s="9">
        <v>2030</v>
      </c>
      <c r="B15" s="8">
        <v>143097.96637476995</v>
      </c>
      <c r="C15" s="22">
        <v>219380.34035771311</v>
      </c>
      <c r="D15" s="22">
        <v>325841.60478072404</v>
      </c>
      <c r="E15" s="22">
        <v>240230.79520512163</v>
      </c>
      <c r="F15" s="22">
        <v>168801.83280308289</v>
      </c>
      <c r="G15" s="23">
        <f t="shared" si="0"/>
        <v>954254.57314664172</v>
      </c>
      <c r="H15" s="23">
        <f>(B15 + stillbirth*B15/(1000-stillbirth))/(1-abortion)</f>
        <v>169091.54762413542</v>
      </c>
      <c r="I15" s="23">
        <f t="shared" si="2"/>
        <v>785163.02552250633</v>
      </c>
    </row>
  </sheetData>
  <conditionalFormatting sqref="B2:I15">
    <cfRule type="expression" dxfId="0" priority="10">
      <formula>$A2=""</formula>
    </cfRule>
  </conditionalFormatting>
  <pageMargins left="0.75" right="0.75" top="1" bottom="1" header="0.5" footer="0.5"/>
  <pageSetup paperSize="9" orientation="portrait" horizontalDpi="4294967292" verticalDpi="4294967292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007600"/>
  </sheetPr>
  <dimension ref="A1:G27"/>
  <sheetViews>
    <sheetView zoomScale="60" zoomScaleNormal="60" workbookViewId="0">
      <selection activeCell="H1" sqref="H1:H1048576"/>
    </sheetView>
  </sheetViews>
  <sheetFormatPr defaultColWidth="14.33203125" defaultRowHeight="15.75" customHeight="1" x14ac:dyDescent="0.25"/>
  <cols>
    <col min="1" max="1" width="31.33203125" customWidth="1"/>
    <col min="2" max="7" width="13" customWidth="1"/>
  </cols>
  <sheetData>
    <row r="1" spans="1:7" ht="27.75" customHeight="1" x14ac:dyDescent="0.25">
      <c r="A1" s="11" t="str">
        <f>"Percentage of deaths in baseline year ("&amp;start_year&amp;") attributable to cause"</f>
        <v>Percentage of deaths in baseline year (2017) attributable to cause</v>
      </c>
      <c r="B1" s="24" t="s">
        <v>1</v>
      </c>
      <c r="C1" s="24" t="s">
        <v>2</v>
      </c>
      <c r="D1" s="24" t="s">
        <v>3</v>
      </c>
      <c r="E1" s="24" t="s">
        <v>4</v>
      </c>
      <c r="F1" s="24" t="s">
        <v>5</v>
      </c>
      <c r="G1" s="24" t="s">
        <v>32</v>
      </c>
    </row>
    <row r="2" spans="1:7" ht="15.75" customHeight="1" x14ac:dyDescent="0.25">
      <c r="A2" s="25" t="s">
        <v>73</v>
      </c>
      <c r="B2" s="79">
        <v>4.4999999999999997E-3</v>
      </c>
      <c r="C2" s="26">
        <v>0</v>
      </c>
      <c r="D2" s="26">
        <v>0</v>
      </c>
      <c r="E2" s="26">
        <v>0</v>
      </c>
      <c r="F2" s="26">
        <v>0</v>
      </c>
      <c r="G2" s="26">
        <v>0</v>
      </c>
    </row>
    <row r="3" spans="1:7" ht="15.75" customHeight="1" x14ac:dyDescent="0.25">
      <c r="A3" s="25" t="s">
        <v>7</v>
      </c>
      <c r="B3" s="79">
        <v>0.1603</v>
      </c>
      <c r="C3" s="26">
        <v>0</v>
      </c>
      <c r="D3" s="26">
        <v>0</v>
      </c>
      <c r="E3" s="26">
        <v>0</v>
      </c>
      <c r="F3" s="26">
        <v>0</v>
      </c>
      <c r="G3" s="26">
        <v>0</v>
      </c>
    </row>
    <row r="4" spans="1:7" ht="15.75" customHeight="1" x14ac:dyDescent="0.25">
      <c r="A4" s="25" t="s">
        <v>8</v>
      </c>
      <c r="B4" s="79">
        <v>6.3500000000000001E-2</v>
      </c>
      <c r="C4" s="26">
        <v>0</v>
      </c>
      <c r="D4" s="26">
        <v>0</v>
      </c>
      <c r="E4" s="26">
        <v>0</v>
      </c>
      <c r="F4" s="26">
        <v>0</v>
      </c>
      <c r="G4" s="26">
        <v>0</v>
      </c>
    </row>
    <row r="5" spans="1:7" ht="15.75" customHeight="1" x14ac:dyDescent="0.25">
      <c r="A5" s="25" t="s">
        <v>10</v>
      </c>
      <c r="B5" s="79">
        <v>0.28639999999999999</v>
      </c>
      <c r="C5" s="26">
        <v>0</v>
      </c>
      <c r="D5" s="26">
        <v>0</v>
      </c>
      <c r="E5" s="26">
        <v>0</v>
      </c>
      <c r="F5" s="26">
        <v>0</v>
      </c>
      <c r="G5" s="26">
        <v>0</v>
      </c>
    </row>
    <row r="6" spans="1:7" ht="15.75" customHeight="1" x14ac:dyDescent="0.25">
      <c r="A6" s="25" t="s">
        <v>13</v>
      </c>
      <c r="B6" s="79">
        <v>0.34749999999999998</v>
      </c>
      <c r="C6" s="26">
        <v>0</v>
      </c>
      <c r="D6" s="26">
        <v>0</v>
      </c>
      <c r="E6" s="26">
        <v>0</v>
      </c>
      <c r="F6" s="26">
        <v>0</v>
      </c>
      <c r="G6" s="26">
        <v>0</v>
      </c>
    </row>
    <row r="7" spans="1:7" ht="15.75" customHeight="1" x14ac:dyDescent="0.25">
      <c r="A7" s="25" t="s">
        <v>14</v>
      </c>
      <c r="B7" s="79">
        <v>1.12E-2</v>
      </c>
      <c r="C7" s="26">
        <v>0</v>
      </c>
      <c r="D7" s="26">
        <v>0</v>
      </c>
      <c r="E7" s="26">
        <v>0</v>
      </c>
      <c r="F7" s="26">
        <v>0</v>
      </c>
      <c r="G7" s="26">
        <v>0</v>
      </c>
    </row>
    <row r="8" spans="1:7" ht="15.75" customHeight="1" x14ac:dyDescent="0.25">
      <c r="A8" s="25" t="s">
        <v>27</v>
      </c>
      <c r="B8" s="79">
        <v>7.1300000000000002E-2</v>
      </c>
      <c r="C8" s="26">
        <v>0</v>
      </c>
      <c r="D8" s="26">
        <v>0</v>
      </c>
      <c r="E8" s="26">
        <v>0</v>
      </c>
      <c r="F8" s="26">
        <v>0</v>
      </c>
      <c r="G8" s="26">
        <v>0</v>
      </c>
    </row>
    <row r="9" spans="1:7" ht="15.75" customHeight="1" x14ac:dyDescent="0.25">
      <c r="A9" s="25" t="s">
        <v>15</v>
      </c>
      <c r="B9" s="79">
        <v>5.5300000000000002E-2</v>
      </c>
      <c r="C9" s="26">
        <v>0</v>
      </c>
      <c r="D9" s="26">
        <v>0</v>
      </c>
      <c r="E9" s="26">
        <v>0</v>
      </c>
      <c r="F9" s="26">
        <v>0</v>
      </c>
      <c r="G9" s="26">
        <v>0</v>
      </c>
    </row>
    <row r="10" spans="1:7" ht="15.75" customHeight="1" x14ac:dyDescent="0.25">
      <c r="A10" s="25" t="s">
        <v>71</v>
      </c>
      <c r="B10" s="26">
        <v>0</v>
      </c>
      <c r="C10" s="79">
        <v>0.15160000000000001</v>
      </c>
      <c r="D10" s="79">
        <v>0.15160000000000001</v>
      </c>
      <c r="E10" s="79">
        <v>0.15160000000000001</v>
      </c>
      <c r="F10" s="79">
        <v>0.15160000000000001</v>
      </c>
      <c r="G10" s="26">
        <v>0</v>
      </c>
    </row>
    <row r="11" spans="1:7" ht="15.75" customHeight="1" x14ac:dyDescent="0.25">
      <c r="A11" s="25" t="s">
        <v>16</v>
      </c>
      <c r="B11" s="26">
        <v>0</v>
      </c>
      <c r="C11" s="79">
        <v>0.19289999999999999</v>
      </c>
      <c r="D11" s="79">
        <v>0.19289999999999999</v>
      </c>
      <c r="E11" s="79">
        <v>0.19289999999999999</v>
      </c>
      <c r="F11" s="79">
        <v>0.19289999999999999</v>
      </c>
      <c r="G11" s="26">
        <v>0</v>
      </c>
    </row>
    <row r="12" spans="1:7" ht="15.75" customHeight="1" x14ac:dyDescent="0.25">
      <c r="A12" s="25" t="s">
        <v>17</v>
      </c>
      <c r="B12" s="26">
        <v>0</v>
      </c>
      <c r="C12" s="79">
        <v>3.7999999999999999E-2</v>
      </c>
      <c r="D12" s="79">
        <v>3.7999999999999999E-2</v>
      </c>
      <c r="E12" s="79">
        <v>3.7999999999999999E-2</v>
      </c>
      <c r="F12" s="79">
        <v>3.7999999999999999E-2</v>
      </c>
      <c r="G12" s="26">
        <v>0</v>
      </c>
    </row>
    <row r="13" spans="1:7" ht="15.75" customHeight="1" x14ac:dyDescent="0.25">
      <c r="A13" s="25" t="s">
        <v>18</v>
      </c>
      <c r="B13" s="26">
        <v>0</v>
      </c>
      <c r="C13" s="79">
        <v>4.5499999999999999E-2</v>
      </c>
      <c r="D13" s="79">
        <v>4.5499999999999999E-2</v>
      </c>
      <c r="E13" s="79">
        <v>4.5499999999999999E-2</v>
      </c>
      <c r="F13" s="79">
        <v>4.5499999999999999E-2</v>
      </c>
      <c r="G13" s="26">
        <v>0</v>
      </c>
    </row>
    <row r="14" spans="1:7" ht="15.75" customHeight="1" x14ac:dyDescent="0.25">
      <c r="A14" s="25" t="s">
        <v>19</v>
      </c>
      <c r="B14" s="26">
        <v>0</v>
      </c>
      <c r="C14" s="79">
        <v>0.1739</v>
      </c>
      <c r="D14" s="79">
        <v>0.1739</v>
      </c>
      <c r="E14" s="79">
        <v>0.1739</v>
      </c>
      <c r="F14" s="79">
        <v>0.1739</v>
      </c>
      <c r="G14" s="26">
        <v>0</v>
      </c>
    </row>
    <row r="15" spans="1:7" ht="15.75" customHeight="1" x14ac:dyDescent="0.25">
      <c r="A15" s="25" t="s">
        <v>20</v>
      </c>
      <c r="B15" s="26">
        <v>0</v>
      </c>
      <c r="C15" s="79">
        <v>1.32E-2</v>
      </c>
      <c r="D15" s="79">
        <v>1.32E-2</v>
      </c>
      <c r="E15" s="79">
        <v>1.32E-2</v>
      </c>
      <c r="F15" s="79">
        <v>1.32E-2</v>
      </c>
      <c r="G15" s="26">
        <v>0</v>
      </c>
    </row>
    <row r="16" spans="1:7" ht="15.75" customHeight="1" x14ac:dyDescent="0.25">
      <c r="A16" s="25" t="s">
        <v>21</v>
      </c>
      <c r="B16" s="26">
        <v>0</v>
      </c>
      <c r="C16" s="79">
        <v>7.7000000000000002E-3</v>
      </c>
      <c r="D16" s="79">
        <v>7.7000000000000002E-3</v>
      </c>
      <c r="E16" s="79">
        <v>7.7000000000000002E-3</v>
      </c>
      <c r="F16" s="79">
        <v>7.7000000000000002E-3</v>
      </c>
      <c r="G16" s="26">
        <v>0</v>
      </c>
    </row>
    <row r="17" spans="1:7" ht="15.75" customHeight="1" x14ac:dyDescent="0.25">
      <c r="A17" s="25" t="s">
        <v>22</v>
      </c>
      <c r="B17" s="26">
        <v>0</v>
      </c>
      <c r="C17" s="79">
        <v>7.8600000000000003E-2</v>
      </c>
      <c r="D17" s="79">
        <v>7.8600000000000003E-2</v>
      </c>
      <c r="E17" s="79">
        <v>7.8600000000000003E-2</v>
      </c>
      <c r="F17" s="79">
        <v>7.8600000000000003E-2</v>
      </c>
      <c r="G17" s="26">
        <v>0</v>
      </c>
    </row>
    <row r="18" spans="1:7" ht="15.75" customHeight="1" x14ac:dyDescent="0.25">
      <c r="A18" s="25" t="s">
        <v>23</v>
      </c>
      <c r="B18" s="26">
        <v>0</v>
      </c>
      <c r="C18" s="79">
        <v>0.29859999999999998</v>
      </c>
      <c r="D18" s="79">
        <v>0.29859999999999998</v>
      </c>
      <c r="E18" s="79">
        <v>0.29859999999999998</v>
      </c>
      <c r="F18" s="79">
        <v>0.29859999999999998</v>
      </c>
      <c r="G18" s="26">
        <v>0</v>
      </c>
    </row>
    <row r="19" spans="1:7" ht="15.75" customHeight="1" x14ac:dyDescent="0.25">
      <c r="A19" s="25" t="s">
        <v>38</v>
      </c>
      <c r="B19" s="26">
        <v>0</v>
      </c>
      <c r="C19" s="26">
        <v>0</v>
      </c>
      <c r="D19" s="26">
        <v>0</v>
      </c>
      <c r="E19" s="26">
        <v>0</v>
      </c>
      <c r="F19" s="26">
        <v>0</v>
      </c>
      <c r="G19" s="80">
        <v>8.8900000000000007E-2</v>
      </c>
    </row>
    <row r="20" spans="1:7" ht="15.75" customHeight="1" x14ac:dyDescent="0.25">
      <c r="A20" s="25" t="s">
        <v>39</v>
      </c>
      <c r="B20" s="26">
        <v>0</v>
      </c>
      <c r="C20" s="26">
        <v>0</v>
      </c>
      <c r="D20" s="26">
        <v>0</v>
      </c>
      <c r="E20" s="26">
        <v>0</v>
      </c>
      <c r="F20" s="26">
        <v>0</v>
      </c>
      <c r="G20" s="80">
        <v>8.6999999999999994E-3</v>
      </c>
    </row>
    <row r="21" spans="1:7" ht="15.75" customHeight="1" x14ac:dyDescent="0.25">
      <c r="A21" s="25" t="s">
        <v>40</v>
      </c>
      <c r="B21" s="26">
        <v>0</v>
      </c>
      <c r="C21" s="26">
        <v>0</v>
      </c>
      <c r="D21" s="26">
        <v>0</v>
      </c>
      <c r="E21" s="26">
        <v>0</v>
      </c>
      <c r="F21" s="26">
        <v>0</v>
      </c>
      <c r="G21" s="80">
        <v>0.1575</v>
      </c>
    </row>
    <row r="22" spans="1:7" ht="15.75" customHeight="1" x14ac:dyDescent="0.25">
      <c r="A22" s="25" t="s">
        <v>41</v>
      </c>
      <c r="B22" s="26">
        <v>0</v>
      </c>
      <c r="C22" s="26">
        <v>0</v>
      </c>
      <c r="D22" s="26">
        <v>0</v>
      </c>
      <c r="E22" s="26">
        <v>0</v>
      </c>
      <c r="F22" s="26">
        <v>0</v>
      </c>
      <c r="G22" s="80">
        <v>0.16980000000000001</v>
      </c>
    </row>
    <row r="23" spans="1:7" ht="15.75" customHeight="1" x14ac:dyDescent="0.25">
      <c r="A23" s="25" t="s">
        <v>42</v>
      </c>
      <c r="B23" s="26">
        <v>0</v>
      </c>
      <c r="C23" s="26">
        <v>0</v>
      </c>
      <c r="D23" s="26">
        <v>0</v>
      </c>
      <c r="E23" s="26">
        <v>0</v>
      </c>
      <c r="F23" s="26">
        <v>0</v>
      </c>
      <c r="G23" s="80">
        <v>0.10489999999999999</v>
      </c>
    </row>
    <row r="24" spans="1:7" ht="15.75" customHeight="1" x14ac:dyDescent="0.25">
      <c r="A24" s="25" t="s">
        <v>43</v>
      </c>
      <c r="B24" s="26">
        <v>0</v>
      </c>
      <c r="C24" s="26">
        <v>0</v>
      </c>
      <c r="D24" s="26">
        <v>0</v>
      </c>
      <c r="E24" s="26">
        <v>0</v>
      </c>
      <c r="F24" s="26">
        <v>0</v>
      </c>
      <c r="G24" s="80">
        <v>0.1087</v>
      </c>
    </row>
    <row r="25" spans="1:7" ht="15.75" customHeight="1" x14ac:dyDescent="0.25">
      <c r="A25" s="25" t="s">
        <v>44</v>
      </c>
      <c r="B25" s="26">
        <v>0</v>
      </c>
      <c r="C25" s="26">
        <v>0</v>
      </c>
      <c r="D25" s="26">
        <v>0</v>
      </c>
      <c r="E25" s="26">
        <v>0</v>
      </c>
      <c r="F25" s="26">
        <v>0</v>
      </c>
      <c r="G25" s="80">
        <v>1.8800000000000001E-2</v>
      </c>
    </row>
    <row r="26" spans="1:7" ht="15.75" customHeight="1" x14ac:dyDescent="0.25">
      <c r="A26" s="25" t="s">
        <v>45</v>
      </c>
      <c r="B26" s="26">
        <v>0</v>
      </c>
      <c r="C26" s="26">
        <v>0</v>
      </c>
      <c r="D26" s="26">
        <v>0</v>
      </c>
      <c r="E26" s="26">
        <v>0</v>
      </c>
      <c r="F26" s="26">
        <v>0</v>
      </c>
      <c r="G26" s="80">
        <v>8.5800000000000001E-2</v>
      </c>
    </row>
    <row r="27" spans="1:7" ht="15.75" customHeight="1" x14ac:dyDescent="0.25">
      <c r="A27" s="25" t="s">
        <v>46</v>
      </c>
      <c r="B27" s="26">
        <v>0</v>
      </c>
      <c r="C27" s="26">
        <v>0</v>
      </c>
      <c r="D27" s="26">
        <v>0</v>
      </c>
      <c r="E27" s="26">
        <v>0</v>
      </c>
      <c r="F27" s="26">
        <v>0</v>
      </c>
      <c r="G27" s="80">
        <v>0.25690000000000002</v>
      </c>
    </row>
  </sheetData>
  <phoneticPr fontId="8" type="noConversion"/>
  <pageMargins left="0.75" right="0.75" top="1" bottom="1" header="0.5" footer="0.5"/>
  <pageSetup paperSize="9" scale="6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007600"/>
  </sheetPr>
  <dimension ref="A1:O15"/>
  <sheetViews>
    <sheetView zoomScale="69" zoomScaleNormal="60" workbookViewId="0">
      <selection activeCell="H1" sqref="H1:H11"/>
    </sheetView>
  </sheetViews>
  <sheetFormatPr defaultColWidth="14.33203125" defaultRowHeight="15.75" customHeight="1" x14ac:dyDescent="0.25"/>
  <cols>
    <col min="1" max="1" width="31.33203125" customWidth="1"/>
    <col min="2" max="2" width="24" customWidth="1"/>
    <col min="8" max="8" width="16.109375" bestFit="1" customWidth="1"/>
  </cols>
  <sheetData>
    <row r="1" spans="1:15" ht="36" customHeight="1" x14ac:dyDescent="0.25">
      <c r="A1" s="29" t="str">
        <f>"Percentage of population in each category in baseline year ("&amp;start_year&amp;")"</f>
        <v>Percentage of population in each category in baseline year (2017)</v>
      </c>
      <c r="B1" s="1" t="s">
        <v>6</v>
      </c>
      <c r="C1" s="18" t="s">
        <v>1</v>
      </c>
      <c r="D1" s="18" t="s">
        <v>2</v>
      </c>
      <c r="E1" s="18" t="s">
        <v>3</v>
      </c>
      <c r="F1" s="18" t="s">
        <v>4</v>
      </c>
      <c r="G1" s="18" t="s">
        <v>5</v>
      </c>
    </row>
    <row r="2" spans="1:15" ht="15.75" customHeight="1" x14ac:dyDescent="0.25">
      <c r="A2" s="6" t="s">
        <v>115</v>
      </c>
      <c r="B2" s="14" t="s">
        <v>117</v>
      </c>
      <c r="C2" s="101">
        <v>0.77062379999999997</v>
      </c>
      <c r="D2" s="101">
        <v>0.77062379999999997</v>
      </c>
      <c r="E2" s="101">
        <v>0.66404439999999998</v>
      </c>
      <c r="F2" s="101">
        <v>0.47643600000000003</v>
      </c>
      <c r="G2" s="101">
        <v>0.25434960000000001</v>
      </c>
    </row>
    <row r="3" spans="1:15" ht="15.75" customHeight="1" x14ac:dyDescent="0.25">
      <c r="A3" s="5"/>
      <c r="B3" s="14" t="s">
        <v>118</v>
      </c>
      <c r="C3" s="101">
        <v>7.0484099999999994E-2</v>
      </c>
      <c r="D3" s="101">
        <v>7.0484099999999994E-2</v>
      </c>
      <c r="E3" s="101">
        <v>0.25239099999999998</v>
      </c>
      <c r="F3" s="101">
        <v>0.16584119999999999</v>
      </c>
      <c r="G3" s="101">
        <v>0.21488260000000001</v>
      </c>
    </row>
    <row r="4" spans="1:15" ht="15.75" customHeight="1" x14ac:dyDescent="0.25">
      <c r="A4" s="5"/>
      <c r="B4" s="14" t="s">
        <v>116</v>
      </c>
      <c r="C4" s="101">
        <v>0</v>
      </c>
      <c r="D4" s="101">
        <v>0</v>
      </c>
      <c r="E4" s="101">
        <v>2.9616799999999999E-2</v>
      </c>
      <c r="F4" s="101">
        <v>0.14310049999999999</v>
      </c>
      <c r="G4" s="101">
        <v>0.1999039</v>
      </c>
    </row>
    <row r="5" spans="1:15" ht="15.75" customHeight="1" x14ac:dyDescent="0.25">
      <c r="A5" s="5"/>
      <c r="B5" s="14" t="s">
        <v>119</v>
      </c>
      <c r="C5" s="101">
        <v>0.15889200000000001</v>
      </c>
      <c r="D5" s="101">
        <v>0.15889200000000001</v>
      </c>
      <c r="E5" s="101">
        <v>5.3947799999999997E-2</v>
      </c>
      <c r="F5" s="101">
        <v>0.21462239999999999</v>
      </c>
      <c r="G5" s="101">
        <v>0.33086389999999999</v>
      </c>
      <c r="H5" s="90"/>
    </row>
    <row r="6" spans="1:15" ht="15.75" customHeight="1" x14ac:dyDescent="0.25">
      <c r="B6" s="16"/>
      <c r="C6" s="31"/>
      <c r="D6" s="31"/>
      <c r="E6" s="31"/>
      <c r="F6" s="31"/>
      <c r="G6" s="31"/>
    </row>
    <row r="7" spans="1:15" ht="15.75" customHeight="1" x14ac:dyDescent="0.25">
      <c r="B7" s="16"/>
      <c r="C7" s="31"/>
      <c r="D7" s="31"/>
      <c r="E7" s="31"/>
      <c r="F7" s="31"/>
      <c r="G7" s="31"/>
    </row>
    <row r="8" spans="1:15" ht="15.75" customHeight="1" x14ac:dyDescent="0.25">
      <c r="A8" s="3" t="s">
        <v>114</v>
      </c>
      <c r="B8" s="9" t="s">
        <v>120</v>
      </c>
      <c r="C8" s="101">
        <v>0.7293984</v>
      </c>
      <c r="D8" s="101">
        <v>0.7293984</v>
      </c>
      <c r="E8" s="101">
        <v>0.52192819999999995</v>
      </c>
      <c r="F8" s="101">
        <v>0.83475849999999996</v>
      </c>
      <c r="G8" s="101">
        <v>0.84260170000000001</v>
      </c>
    </row>
    <row r="9" spans="1:15" ht="15.75" customHeight="1" x14ac:dyDescent="0.25">
      <c r="B9" s="9" t="s">
        <v>121</v>
      </c>
      <c r="C9" s="101">
        <v>0.19050259999999999</v>
      </c>
      <c r="D9" s="101">
        <v>0.19050259999999999</v>
      </c>
      <c r="E9" s="101">
        <v>0.43213960000000001</v>
      </c>
      <c r="F9" s="101">
        <v>0.13370080000000001</v>
      </c>
      <c r="G9" s="101">
        <v>8.3976300000000004E-2</v>
      </c>
    </row>
    <row r="10" spans="1:15" ht="15.75" customHeight="1" x14ac:dyDescent="0.25">
      <c r="B10" s="9" t="s">
        <v>122</v>
      </c>
      <c r="C10" s="101">
        <v>8.0098900000000001E-2</v>
      </c>
      <c r="D10" s="101">
        <v>8.0098900000000001E-2</v>
      </c>
      <c r="E10" s="101">
        <v>4.5932199999999999E-2</v>
      </c>
      <c r="F10" s="101">
        <v>3.1540699999999998E-2</v>
      </c>
      <c r="G10" s="101">
        <v>3.5338000000000001E-2</v>
      </c>
    </row>
    <row r="11" spans="1:15" ht="15.75" customHeight="1" x14ac:dyDescent="0.25">
      <c r="B11" s="9" t="s">
        <v>123</v>
      </c>
      <c r="C11" s="101">
        <v>0</v>
      </c>
      <c r="D11" s="101">
        <v>0</v>
      </c>
      <c r="E11" s="101">
        <v>0</v>
      </c>
      <c r="F11" s="101">
        <v>0</v>
      </c>
      <c r="G11" s="101">
        <v>3.8084E-2</v>
      </c>
    </row>
    <row r="12" spans="1:15" ht="15.75" customHeight="1" x14ac:dyDescent="0.25">
      <c r="C12" s="10"/>
      <c r="D12" s="10"/>
      <c r="E12" s="10"/>
      <c r="F12" s="10"/>
      <c r="G12" s="10"/>
      <c r="I12" s="17"/>
      <c r="J12" s="17"/>
      <c r="K12" s="17"/>
      <c r="L12" s="17"/>
      <c r="M12" s="17"/>
      <c r="N12" s="17"/>
      <c r="O12" s="17"/>
    </row>
    <row r="13" spans="1:15" ht="27" customHeight="1" x14ac:dyDescent="0.25">
      <c r="A13" s="15" t="s">
        <v>70</v>
      </c>
      <c r="C13" s="47" t="s">
        <v>1</v>
      </c>
      <c r="D13" s="47" t="s">
        <v>2</v>
      </c>
      <c r="E13" s="47" t="s">
        <v>3</v>
      </c>
      <c r="F13" s="47" t="s">
        <v>4</v>
      </c>
      <c r="G13" s="47" t="s">
        <v>5</v>
      </c>
      <c r="H13" s="81" t="s">
        <v>53</v>
      </c>
      <c r="I13" s="81" t="s">
        <v>54</v>
      </c>
      <c r="J13" s="81" t="s">
        <v>55</v>
      </c>
      <c r="K13" s="81" t="s">
        <v>56</v>
      </c>
      <c r="L13" s="81" t="s">
        <v>49</v>
      </c>
      <c r="M13" s="81" t="s">
        <v>50</v>
      </c>
      <c r="N13" s="81" t="s">
        <v>51</v>
      </c>
      <c r="O13" s="81" t="s">
        <v>52</v>
      </c>
    </row>
    <row r="14" spans="1:15" ht="15.75" customHeight="1" x14ac:dyDescent="0.3">
      <c r="B14" s="18" t="s">
        <v>131</v>
      </c>
      <c r="C14" s="108">
        <v>0.93969999999999998</v>
      </c>
      <c r="D14" s="108">
        <v>0.93969999999999998</v>
      </c>
      <c r="E14" s="108">
        <v>0.93969999999999998</v>
      </c>
      <c r="F14" s="101">
        <v>0.59340000000000004</v>
      </c>
      <c r="G14" s="108">
        <v>0.60750000000000004</v>
      </c>
      <c r="H14" s="109">
        <v>0.36909999999999998</v>
      </c>
      <c r="I14" s="109">
        <v>0.53779999999999994</v>
      </c>
      <c r="J14" s="109">
        <v>2.24E-2</v>
      </c>
      <c r="K14" s="109">
        <v>0.21590000000000001</v>
      </c>
      <c r="L14" s="109">
        <v>0.47760000000000002</v>
      </c>
      <c r="M14" s="109">
        <v>0.41110000000000002</v>
      </c>
      <c r="N14" s="109">
        <v>0.33929999999999999</v>
      </c>
      <c r="O14" s="109">
        <v>0.38429999999999997</v>
      </c>
    </row>
    <row r="15" spans="1:15" ht="15.75" customHeight="1" x14ac:dyDescent="0.25">
      <c r="B15" s="18" t="s">
        <v>68</v>
      </c>
      <c r="C15" s="35">
        <f t="shared" ref="C15:O15" si="0">iron_deficiency_anaemia*C14</f>
        <v>0.40895743999999995</v>
      </c>
      <c r="D15" s="35">
        <f t="shared" si="0"/>
        <v>0.40895743999999995</v>
      </c>
      <c r="E15" s="35">
        <f t="shared" si="0"/>
        <v>0.40895743999999995</v>
      </c>
      <c r="F15" s="35">
        <f t="shared" si="0"/>
        <v>0.25824767999999998</v>
      </c>
      <c r="G15" s="35">
        <f t="shared" si="0"/>
        <v>0.26438400000000001</v>
      </c>
      <c r="H15" s="35">
        <f t="shared" si="0"/>
        <v>0.16063232</v>
      </c>
      <c r="I15" s="35">
        <f t="shared" si="0"/>
        <v>0.23405055999999996</v>
      </c>
      <c r="J15" s="35">
        <f t="shared" si="0"/>
        <v>9.7484799999999986E-3</v>
      </c>
      <c r="K15" s="35">
        <f t="shared" si="0"/>
        <v>9.3959680000000004E-2</v>
      </c>
      <c r="L15" s="35">
        <f t="shared" si="0"/>
        <v>0.20785152000000001</v>
      </c>
      <c r="M15" s="35">
        <f t="shared" si="0"/>
        <v>0.17891072</v>
      </c>
      <c r="N15" s="35">
        <f t="shared" si="0"/>
        <v>0.14766335999999999</v>
      </c>
      <c r="O15" s="35">
        <f t="shared" si="0"/>
        <v>0.16724735999999998</v>
      </c>
    </row>
  </sheetData>
  <pageMargins left="0.75" right="0.75" top="1" bottom="1" header="0.5" footer="0.5"/>
  <pageSetup paperSize="9" orientation="portrait" horizontalDpi="4294967292" verticalDpi="4294967292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>
    <tabColor rgb="FF007600"/>
  </sheetPr>
  <dimension ref="A1:G5"/>
  <sheetViews>
    <sheetView zoomScale="89" zoomScaleNormal="60" workbookViewId="0">
      <selection activeCell="H1" sqref="H1:H1048576"/>
    </sheetView>
  </sheetViews>
  <sheetFormatPr defaultColWidth="8.77734375" defaultRowHeight="13.2" x14ac:dyDescent="0.25"/>
  <cols>
    <col min="1" max="1" width="28.77734375" customWidth="1"/>
    <col min="2" max="7" width="13.33203125" customWidth="1"/>
  </cols>
  <sheetData>
    <row r="1" spans="1:7" ht="40.5" customHeight="1" x14ac:dyDescent="0.25">
      <c r="A1" s="29" t="str">
        <f>"Percentage of children in each category in baseline year ("&amp;start_year&amp;")"</f>
        <v>Percentage of children in each category in baseline year (2017)</v>
      </c>
      <c r="B1" s="1" t="s">
        <v>6</v>
      </c>
      <c r="C1" s="15" t="s">
        <v>1</v>
      </c>
      <c r="D1" s="15" t="s">
        <v>2</v>
      </c>
      <c r="E1" s="15" t="s">
        <v>3</v>
      </c>
      <c r="F1" s="15" t="s">
        <v>4</v>
      </c>
      <c r="G1" s="15" t="s">
        <v>5</v>
      </c>
    </row>
    <row r="2" spans="1:7" ht="13.2" customHeight="1" x14ac:dyDescent="0.25">
      <c r="A2" s="3" t="s">
        <v>24</v>
      </c>
      <c r="B2" s="48" t="s">
        <v>165</v>
      </c>
      <c r="C2" s="101">
        <v>0.96081609999999995</v>
      </c>
      <c r="D2" s="101">
        <v>0.49104300000000001</v>
      </c>
      <c r="E2" s="101">
        <v>0</v>
      </c>
      <c r="F2" s="101">
        <v>0</v>
      </c>
      <c r="G2" s="101">
        <v>0</v>
      </c>
    </row>
    <row r="3" spans="1:7" x14ac:dyDescent="0.25">
      <c r="B3" s="48" t="s">
        <v>166</v>
      </c>
      <c r="C3" s="110">
        <v>3.9183900000000001E-2</v>
      </c>
      <c r="D3" s="110">
        <v>0.21271219999999999</v>
      </c>
      <c r="E3" s="110">
        <v>0</v>
      </c>
      <c r="F3" s="110">
        <v>0</v>
      </c>
      <c r="G3" s="110">
        <v>0</v>
      </c>
    </row>
    <row r="4" spans="1:7" x14ac:dyDescent="0.25">
      <c r="B4" s="48" t="s">
        <v>167</v>
      </c>
      <c r="C4" s="110">
        <v>0</v>
      </c>
      <c r="D4" s="110">
        <v>0.29624479999999997</v>
      </c>
      <c r="E4" s="103">
        <v>1</v>
      </c>
      <c r="F4" s="103">
        <v>0.82722150000000005</v>
      </c>
      <c r="G4" s="103">
        <v>4.8443E-2</v>
      </c>
    </row>
    <row r="5" spans="1:7" x14ac:dyDescent="0.25">
      <c r="B5" s="48" t="s">
        <v>168</v>
      </c>
      <c r="C5" s="35">
        <f>1-SUM(C2:C4)</f>
        <v>0</v>
      </c>
      <c r="D5" s="35">
        <f t="shared" ref="D5:G5" si="0">1-SUM(D2:D4)</f>
        <v>0</v>
      </c>
      <c r="E5" s="35">
        <f t="shared" si="0"/>
        <v>0</v>
      </c>
      <c r="F5" s="35">
        <f t="shared" si="0"/>
        <v>0.17277849999999995</v>
      </c>
      <c r="G5" s="35">
        <f t="shared" si="0"/>
        <v>0.95155699999999999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007600"/>
  </sheetPr>
  <dimension ref="A1:K14"/>
  <sheetViews>
    <sheetView zoomScale="60" zoomScaleNormal="60" workbookViewId="0">
      <selection activeCell="G35" sqref="G35"/>
    </sheetView>
  </sheetViews>
  <sheetFormatPr defaultColWidth="8.77734375" defaultRowHeight="13.2" x14ac:dyDescent="0.25"/>
  <cols>
    <col min="1" max="1" width="37" customWidth="1"/>
    <col min="2" max="2" width="29.33203125" customWidth="1"/>
  </cols>
  <sheetData>
    <row r="1" spans="1:11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139</v>
      </c>
      <c r="B2" s="16" t="s">
        <v>143</v>
      </c>
      <c r="C2" s="30"/>
      <c r="D2" s="30"/>
      <c r="E2" s="30"/>
      <c r="F2" s="30"/>
      <c r="G2" s="30"/>
      <c r="H2" s="30"/>
      <c r="I2" s="30"/>
      <c r="J2" s="30"/>
      <c r="K2" s="30"/>
    </row>
    <row r="3" spans="1:11" x14ac:dyDescent="0.25">
      <c r="B3" s="16"/>
    </row>
    <row r="4" spans="1:11" x14ac:dyDescent="0.25">
      <c r="A4" t="s">
        <v>140</v>
      </c>
      <c r="B4" s="16" t="s">
        <v>143</v>
      </c>
      <c r="C4" s="30"/>
      <c r="D4" s="30"/>
      <c r="E4" s="30"/>
      <c r="F4" s="30"/>
      <c r="G4" s="30"/>
      <c r="H4" s="30"/>
      <c r="I4" s="30"/>
      <c r="J4" s="30"/>
      <c r="K4" s="30"/>
    </row>
    <row r="5" spans="1:11" x14ac:dyDescent="0.25">
      <c r="B5" s="16"/>
    </row>
    <row r="6" spans="1:11" x14ac:dyDescent="0.25">
      <c r="A6" t="s">
        <v>141</v>
      </c>
      <c r="B6" s="16" t="s">
        <v>143</v>
      </c>
      <c r="C6" s="30"/>
      <c r="D6" s="30"/>
      <c r="E6" s="30"/>
      <c r="F6" s="30"/>
      <c r="G6" s="30"/>
      <c r="H6" s="30"/>
      <c r="I6" s="30"/>
      <c r="J6" s="30"/>
      <c r="K6" s="30"/>
    </row>
    <row r="7" spans="1:11" x14ac:dyDescent="0.25">
      <c r="B7" s="16" t="s">
        <v>32</v>
      </c>
      <c r="C7" s="30"/>
      <c r="D7" s="30"/>
      <c r="E7" s="30"/>
      <c r="F7" s="30"/>
      <c r="G7" s="30"/>
      <c r="H7" s="30"/>
      <c r="I7" s="30"/>
      <c r="J7" s="30"/>
      <c r="K7" s="30"/>
    </row>
    <row r="8" spans="1:11" x14ac:dyDescent="0.25">
      <c r="B8" s="16" t="s">
        <v>144</v>
      </c>
      <c r="C8" s="30"/>
      <c r="D8" s="30"/>
      <c r="E8" s="30"/>
      <c r="F8" s="30"/>
      <c r="G8" s="30"/>
      <c r="H8" s="30"/>
      <c r="I8" s="30"/>
      <c r="J8" s="30"/>
      <c r="K8" s="30"/>
    </row>
    <row r="10" spans="1:11" x14ac:dyDescent="0.25">
      <c r="A10" t="s">
        <v>142</v>
      </c>
      <c r="B10" s="18" t="s">
        <v>147</v>
      </c>
      <c r="C10" s="30"/>
      <c r="D10" s="30"/>
      <c r="E10" s="30"/>
      <c r="F10" s="30"/>
      <c r="G10" s="30"/>
      <c r="H10" s="30"/>
      <c r="I10" s="30"/>
      <c r="J10" s="30"/>
      <c r="K10" s="30"/>
    </row>
    <row r="11" spans="1:11" x14ac:dyDescent="0.25">
      <c r="B11" s="37" t="s">
        <v>146</v>
      </c>
      <c r="C11" s="30"/>
      <c r="D11" s="30"/>
      <c r="E11" s="30"/>
      <c r="F11" s="30"/>
      <c r="G11" s="30"/>
      <c r="H11" s="30"/>
      <c r="I11" s="30"/>
      <c r="J11" s="30"/>
      <c r="K11" s="30"/>
    </row>
    <row r="13" spans="1:11" x14ac:dyDescent="0.25">
      <c r="A13" s="15" t="s">
        <v>74</v>
      </c>
      <c r="B13" s="37" t="s">
        <v>148</v>
      </c>
      <c r="C13" s="30"/>
      <c r="D13" s="30"/>
      <c r="E13" s="30"/>
      <c r="F13" s="30"/>
      <c r="G13" s="30"/>
      <c r="H13" s="30"/>
      <c r="I13" s="30"/>
      <c r="J13" s="30"/>
      <c r="K13" s="30"/>
    </row>
    <row r="14" spans="1:11" x14ac:dyDescent="0.25">
      <c r="B14" s="18" t="s">
        <v>169</v>
      </c>
      <c r="C14" s="30"/>
      <c r="D14" s="30"/>
      <c r="E14" s="30"/>
      <c r="F14" s="30"/>
      <c r="G14" s="30"/>
      <c r="H14" s="30"/>
      <c r="I14" s="30"/>
      <c r="J14" s="30"/>
      <c r="K14" s="30"/>
    </row>
  </sheetData>
  <pageMargins left="0.7" right="0.7" top="0.75" bottom="0.75" header="0.3" footer="0.3"/>
  <pageSetup paperSize="193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theme="7" tint="-0.249977111117893"/>
  </sheetPr>
  <dimension ref="A1:E21"/>
  <sheetViews>
    <sheetView zoomScale="60" zoomScaleNormal="60" workbookViewId="0">
      <selection activeCell="J1" sqref="J1"/>
    </sheetView>
  </sheetViews>
  <sheetFormatPr defaultColWidth="11.33203125" defaultRowHeight="13.2" x14ac:dyDescent="0.25"/>
  <cols>
    <col min="1" max="1" width="17" style="40" customWidth="1"/>
    <col min="2" max="2" width="19.109375" style="40" customWidth="1"/>
    <col min="3" max="3" width="13.33203125" style="40" customWidth="1"/>
    <col min="4" max="16384" width="11.33203125" style="40"/>
  </cols>
  <sheetData>
    <row r="1" spans="1:5" x14ac:dyDescent="0.25">
      <c r="A1" s="53" t="s">
        <v>176</v>
      </c>
      <c r="B1" s="54" t="s">
        <v>175</v>
      </c>
      <c r="C1" s="54" t="s">
        <v>174</v>
      </c>
      <c r="D1" s="54" t="s">
        <v>173</v>
      </c>
      <c r="E1" s="54" t="s">
        <v>172</v>
      </c>
    </row>
    <row r="2" spans="1:5" x14ac:dyDescent="0.25">
      <c r="A2" s="52" t="s">
        <v>171</v>
      </c>
      <c r="B2" s="49" t="s">
        <v>32</v>
      </c>
      <c r="C2" s="72"/>
      <c r="D2" s="72" t="b">
        <v>1</v>
      </c>
      <c r="E2" s="73" t="b">
        <f>IF(E$7="","",E$7)</f>
        <v>1</v>
      </c>
    </row>
    <row r="3" spans="1:5" x14ac:dyDescent="0.25">
      <c r="A3" s="50"/>
      <c r="B3" s="49" t="s">
        <v>1</v>
      </c>
      <c r="C3" s="72"/>
      <c r="D3" s="72" t="b">
        <v>1</v>
      </c>
      <c r="E3" s="73" t="b">
        <f>IF(E$7="","",E$7)</f>
        <v>1</v>
      </c>
    </row>
    <row r="4" spans="1:5" x14ac:dyDescent="0.25">
      <c r="A4" s="50"/>
      <c r="B4" s="49" t="s">
        <v>2</v>
      </c>
      <c r="C4" s="72"/>
      <c r="D4" s="72" t="b">
        <v>1</v>
      </c>
      <c r="E4" s="73" t="b">
        <f>IF(E$7="","",E$7)</f>
        <v>1</v>
      </c>
    </row>
    <row r="5" spans="1:5" x14ac:dyDescent="0.25">
      <c r="A5" s="50"/>
      <c r="B5" s="49" t="s">
        <v>3</v>
      </c>
      <c r="C5" s="72"/>
      <c r="D5" s="72" t="b">
        <v>1</v>
      </c>
      <c r="E5" s="73" t="b">
        <f>IF(E$7="","",E$7)</f>
        <v>1</v>
      </c>
    </row>
    <row r="6" spans="1:5" x14ac:dyDescent="0.25">
      <c r="A6" s="50"/>
      <c r="B6" s="49" t="s">
        <v>4</v>
      </c>
      <c r="C6" s="72"/>
      <c r="D6" s="72" t="b">
        <v>1</v>
      </c>
      <c r="E6" s="73" t="b">
        <f>IF(E$7="","",E$7)</f>
        <v>1</v>
      </c>
    </row>
    <row r="7" spans="1:5" x14ac:dyDescent="0.25">
      <c r="A7" s="50"/>
      <c r="B7" s="49" t="s">
        <v>170</v>
      </c>
      <c r="C7" s="74"/>
      <c r="D7" s="75"/>
      <c r="E7" s="72" t="b">
        <v>1</v>
      </c>
    </row>
    <row r="8" spans="1:5" x14ac:dyDescent="0.25">
      <c r="C8" s="76"/>
      <c r="D8" s="76"/>
      <c r="E8" s="76"/>
    </row>
    <row r="9" spans="1:5" x14ac:dyDescent="0.25">
      <c r="A9" s="52" t="s">
        <v>196</v>
      </c>
      <c r="B9" s="49" t="s">
        <v>32</v>
      </c>
      <c r="C9" s="72" t="b">
        <v>1</v>
      </c>
      <c r="D9" s="72"/>
      <c r="E9" s="73" t="b">
        <f>IF(E$7="","",E$7)</f>
        <v>1</v>
      </c>
    </row>
    <row r="10" spans="1:5" x14ac:dyDescent="0.25">
      <c r="A10" s="50"/>
      <c r="B10" s="49" t="s">
        <v>1</v>
      </c>
      <c r="C10" s="72" t="b">
        <v>1</v>
      </c>
      <c r="D10" s="72"/>
      <c r="E10" s="73" t="b">
        <f>IF(E$7="","",E$7)</f>
        <v>1</v>
      </c>
    </row>
    <row r="11" spans="1:5" x14ac:dyDescent="0.25">
      <c r="A11" s="50"/>
      <c r="B11" s="49" t="s">
        <v>2</v>
      </c>
      <c r="C11" s="72" t="b">
        <v>1</v>
      </c>
      <c r="D11" s="72"/>
      <c r="E11" s="73" t="b">
        <f>IF(E$7="","",E$7)</f>
        <v>1</v>
      </c>
    </row>
    <row r="12" spans="1:5" x14ac:dyDescent="0.25">
      <c r="A12" s="50"/>
      <c r="B12" s="49" t="s">
        <v>3</v>
      </c>
      <c r="C12" s="72" t="b">
        <v>1</v>
      </c>
      <c r="D12" s="72"/>
      <c r="E12" s="73" t="b">
        <f>IF(E$7="","",E$7)</f>
        <v>1</v>
      </c>
    </row>
    <row r="13" spans="1:5" x14ac:dyDescent="0.25">
      <c r="A13" s="50"/>
      <c r="B13" s="49" t="s">
        <v>4</v>
      </c>
      <c r="C13" s="72" t="b">
        <v>1</v>
      </c>
      <c r="D13" s="72"/>
      <c r="E13" s="73" t="b">
        <f>IF(E$7="","",E$7)</f>
        <v>1</v>
      </c>
    </row>
    <row r="14" spans="1:5" x14ac:dyDescent="0.25">
      <c r="A14" s="50"/>
      <c r="B14" s="49" t="s">
        <v>170</v>
      </c>
      <c r="C14" s="74"/>
      <c r="D14" s="75"/>
      <c r="E14" s="72"/>
    </row>
    <row r="15" spans="1:5" x14ac:dyDescent="0.25">
      <c r="C15" s="76"/>
      <c r="D15" s="76"/>
      <c r="E15" s="76"/>
    </row>
    <row r="16" spans="1:5" x14ac:dyDescent="0.25">
      <c r="A16" s="52" t="s">
        <v>197</v>
      </c>
      <c r="B16" s="49" t="s">
        <v>32</v>
      </c>
      <c r="C16" s="72"/>
      <c r="D16" s="72"/>
      <c r="E16" s="73" t="b">
        <f>IF(E$7="","",E$7)</f>
        <v>1</v>
      </c>
    </row>
    <row r="17" spans="1:5" x14ac:dyDescent="0.25">
      <c r="A17" s="50"/>
      <c r="B17" s="49" t="s">
        <v>1</v>
      </c>
      <c r="C17" s="72"/>
      <c r="D17" s="72"/>
      <c r="E17" s="73" t="b">
        <f>IF(E$7="","",E$7)</f>
        <v>1</v>
      </c>
    </row>
    <row r="18" spans="1:5" x14ac:dyDescent="0.25">
      <c r="A18" s="50"/>
      <c r="B18" s="49" t="s">
        <v>2</v>
      </c>
      <c r="C18" s="72"/>
      <c r="D18" s="72"/>
      <c r="E18" s="73" t="b">
        <f>IF(E$7="","",E$7)</f>
        <v>1</v>
      </c>
    </row>
    <row r="19" spans="1:5" x14ac:dyDescent="0.25">
      <c r="A19" s="50"/>
      <c r="B19" s="49" t="s">
        <v>3</v>
      </c>
      <c r="C19" s="72"/>
      <c r="D19" s="72"/>
      <c r="E19" s="73" t="b">
        <f>IF(E$7="","",E$7)</f>
        <v>1</v>
      </c>
    </row>
    <row r="20" spans="1:5" x14ac:dyDescent="0.25">
      <c r="A20" s="50"/>
      <c r="B20" s="49" t="s">
        <v>4</v>
      </c>
      <c r="C20" s="72"/>
      <c r="D20" s="72"/>
      <c r="E20" s="73" t="b">
        <f>IF(E$7="","",E$7)</f>
        <v>1</v>
      </c>
    </row>
    <row r="21" spans="1:5" x14ac:dyDescent="0.25">
      <c r="A21" s="50"/>
      <c r="B21" s="49" t="s">
        <v>170</v>
      </c>
      <c r="C21" s="74"/>
      <c r="D21" s="75"/>
      <c r="E21" s="72"/>
    </row>
  </sheetData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tabColor theme="7" tint="-0.249977111117893"/>
  </sheetPr>
  <dimension ref="A1:D3"/>
  <sheetViews>
    <sheetView zoomScale="60" zoomScaleNormal="60" workbookViewId="0">
      <selection activeCell="C7" sqref="C7"/>
    </sheetView>
  </sheetViews>
  <sheetFormatPr defaultColWidth="10.77734375" defaultRowHeight="13.2" x14ac:dyDescent="0.25"/>
  <cols>
    <col min="1" max="1" width="15.5546875" customWidth="1"/>
    <col min="2" max="2" width="15.33203125" customWidth="1"/>
    <col min="3" max="3" width="21" customWidth="1"/>
    <col min="4" max="4" width="12.77734375" customWidth="1"/>
  </cols>
  <sheetData>
    <row r="1" spans="1:4" x14ac:dyDescent="0.25">
      <c r="A1" s="68" t="s">
        <v>164</v>
      </c>
      <c r="B1" s="54" t="s">
        <v>179</v>
      </c>
      <c r="C1" s="69" t="s">
        <v>180</v>
      </c>
      <c r="D1" s="69" t="s">
        <v>184</v>
      </c>
    </row>
    <row r="2" spans="1:4" x14ac:dyDescent="0.25">
      <c r="A2" s="69" t="s">
        <v>69</v>
      </c>
      <c r="B2" s="49" t="s">
        <v>67</v>
      </c>
      <c r="C2" s="49" t="s">
        <v>181</v>
      </c>
      <c r="D2" s="72"/>
    </row>
    <row r="3" spans="1:4" x14ac:dyDescent="0.25">
      <c r="A3" s="69" t="s">
        <v>183</v>
      </c>
      <c r="B3" s="49" t="s">
        <v>174</v>
      </c>
      <c r="C3" s="49" t="s">
        <v>182</v>
      </c>
      <c r="D3" s="7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16</vt:i4>
      </vt:variant>
      <vt:variant>
        <vt:lpstr>Named Ranges</vt:lpstr>
      </vt:variant>
      <vt:variant>
        <vt:i4>45</vt:i4>
      </vt:variant>
    </vt:vector>
  </HeadingPairs>
  <TitlesOfParts>
    <vt:vector size="61" baseType="lpstr">
      <vt:lpstr>Cost curve options</vt:lpstr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IYCF cost</vt:lpstr>
      <vt:lpstr>Program dependencies</vt:lpstr>
      <vt:lpstr>Reference programs</vt:lpstr>
      <vt:lpstr>Incidence of conditions</vt:lpstr>
      <vt:lpstr>Programs target population</vt:lpstr>
      <vt:lpstr>Programs family planning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2018-11-14T07:02:54Z</dcterms:modified>
</cp:coreProperties>
</file>