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9E17A4F1-EB59-4DDC-B975-00C229883EF5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E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D133" i="27"/>
  <c r="H132" i="27"/>
  <c r="G132" i="27"/>
  <c r="F132" i="27"/>
  <c r="E132" i="27"/>
  <c r="H131" i="27"/>
  <c r="G131" i="27"/>
  <c r="F131" i="27"/>
  <c r="E131" i="27"/>
  <c r="D131" i="27"/>
  <c r="E130" i="27"/>
  <c r="D130" i="27"/>
  <c r="G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G112" i="27"/>
  <c r="F112" i="27"/>
  <c r="E112" i="27"/>
  <c r="D112" i="27"/>
  <c r="H97" i="27"/>
  <c r="H152" i="27" s="1"/>
  <c r="G97" i="27"/>
  <c r="G152" i="27" s="1"/>
  <c r="F97" i="27"/>
  <c r="F152" i="27" s="1"/>
  <c r="E97" i="27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H77" i="27"/>
  <c r="G77" i="27"/>
  <c r="F77" i="27"/>
  <c r="E77" i="27"/>
  <c r="H76" i="27"/>
  <c r="G76" i="27"/>
  <c r="F76" i="27"/>
  <c r="E76" i="27"/>
  <c r="D76" i="27"/>
  <c r="E75" i="27"/>
  <c r="D75" i="27"/>
  <c r="H74" i="27"/>
  <c r="H129" i="27" s="1"/>
  <c r="G74" i="27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F57" i="27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6" i="2"/>
  <c r="A35" i="2"/>
  <c r="A34" i="2"/>
  <c r="A33" i="2"/>
  <c r="A28" i="2"/>
  <c r="A27" i="2"/>
  <c r="A26" i="2"/>
  <c r="A25" i="2"/>
  <c r="A20" i="2"/>
  <c r="A19" i="2"/>
  <c r="A18" i="2"/>
  <c r="A17" i="2"/>
  <c r="H13" i="2"/>
  <c r="G13" i="2"/>
  <c r="I13" i="2" s="1"/>
  <c r="I12" i="2"/>
  <c r="H12" i="2"/>
  <c r="G12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32" i="2" s="1"/>
  <c r="C33" i="1"/>
  <c r="C20" i="1"/>
  <c r="A21" i="2" l="1"/>
  <c r="A29" i="2"/>
  <c r="A37" i="2"/>
  <c r="A14" i="2"/>
  <c r="A4" i="2"/>
  <c r="A5" i="2" s="1"/>
  <c r="A6" i="2"/>
  <c r="A7" i="2" s="1"/>
  <c r="A8" i="2" s="1"/>
  <c r="A9" i="2" s="1"/>
  <c r="A10" i="2" s="1"/>
  <c r="A11" i="2" s="1"/>
  <c r="A12" i="2" s="1"/>
  <c r="A13" i="2" s="1"/>
  <c r="A22" i="2"/>
  <c r="A30" i="2"/>
  <c r="A38" i="2"/>
  <c r="A40" i="2"/>
  <c r="A15" i="2"/>
  <c r="A23" i="2"/>
  <c r="A31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<sst xmlns="http://schemas.openxmlformats.org/spreadsheetml/2006/main" count="2092" uniqueCount="341">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</sst>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6883025.3125</v>
      </c>
    </row>
    <row r="8" spans="1:3" ht="15" customHeight="1" x14ac:dyDescent="0.25">
      <c r="B8" s="5" t="s">
        <v>8</v>
      </c>
      <c r="C8" s="44">
        <v>0.45</v>
      </c>
    </row>
    <row r="9" spans="1:3" ht="15" customHeight="1" x14ac:dyDescent="0.25">
      <c r="B9" s="5" t="s">
        <v>9</v>
      </c>
      <c r="C9" s="45">
        <v>3.2400000000000012E-2</v>
      </c>
    </row>
    <row r="10" spans="1:3" ht="15" customHeight="1" x14ac:dyDescent="0.25">
      <c r="B10" s="5" t="s">
        <v>10</v>
      </c>
      <c r="C10" s="45">
        <v>0.36149230957031298</v>
      </c>
    </row>
    <row r="11" spans="1:3" ht="15" customHeight="1" x14ac:dyDescent="0.25">
      <c r="B11" s="5" t="s">
        <v>11</v>
      </c>
      <c r="C11" s="45">
        <v>0.17799999999999999</v>
      </c>
    </row>
    <row r="12" spans="1:3" ht="15" customHeight="1" x14ac:dyDescent="0.25">
      <c r="B12" s="5" t="s">
        <v>12</v>
      </c>
      <c r="C12" s="45">
        <v>0.61499999999999999</v>
      </c>
    </row>
    <row r="13" spans="1:3" ht="15" customHeight="1" x14ac:dyDescent="0.25">
      <c r="B13" s="5" t="s">
        <v>13</v>
      </c>
      <c r="C13" s="45">
        <v>0.57899999999999996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8.48E-2</v>
      </c>
    </row>
    <row r="24" spans="1:3" ht="15" customHeight="1" x14ac:dyDescent="0.25">
      <c r="B24" s="15" t="s">
        <v>22</v>
      </c>
      <c r="C24" s="45">
        <v>0.49769999999999998</v>
      </c>
    </row>
    <row r="25" spans="1:3" ht="15" customHeight="1" x14ac:dyDescent="0.25">
      <c r="B25" s="15" t="s">
        <v>23</v>
      </c>
      <c r="C25" s="45">
        <v>0.3468</v>
      </c>
    </row>
    <row r="26" spans="1:3" ht="15" customHeight="1" x14ac:dyDescent="0.25">
      <c r="B26" s="15" t="s">
        <v>24</v>
      </c>
      <c r="C26" s="45">
        <v>7.0699999999999999E-2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0.19234081473040299</v>
      </c>
    </row>
    <row r="30" spans="1:3" ht="14.25" customHeight="1" x14ac:dyDescent="0.25">
      <c r="B30" s="25" t="s">
        <v>27</v>
      </c>
      <c r="C30" s="99">
        <v>9.4472202810495898E-2</v>
      </c>
    </row>
    <row r="31" spans="1:3" ht="14.25" customHeight="1" x14ac:dyDescent="0.25">
      <c r="B31" s="25" t="s">
        <v>28</v>
      </c>
      <c r="C31" s="99">
        <v>0.16743043577463701</v>
      </c>
    </row>
    <row r="32" spans="1:3" ht="14.25" customHeight="1" x14ac:dyDescent="0.25">
      <c r="B32" s="25" t="s">
        <v>29</v>
      </c>
      <c r="C32" s="99">
        <v>0.54575654668446394</v>
      </c>
    </row>
    <row r="33" spans="1:5" ht="13" customHeight="1" x14ac:dyDescent="0.25">
      <c r="B33" s="27" t="s">
        <v>30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34.087879999999998</v>
      </c>
    </row>
    <row r="38" spans="1:5" ht="15" customHeight="1" x14ac:dyDescent="0.25">
      <c r="B38" s="11" t="s">
        <v>34</v>
      </c>
      <c r="C38" s="43">
        <v>43.391629999999999</v>
      </c>
      <c r="D38" s="12"/>
      <c r="E38" s="13"/>
    </row>
    <row r="39" spans="1:5" ht="15" customHeight="1" x14ac:dyDescent="0.25">
      <c r="B39" s="11" t="s">
        <v>35</v>
      </c>
      <c r="C39" s="43">
        <v>55.65748</v>
      </c>
      <c r="D39" s="12"/>
      <c r="E39" s="12"/>
    </row>
    <row r="40" spans="1:5" ht="15" customHeight="1" x14ac:dyDescent="0.25">
      <c r="B40" s="11" t="s">
        <v>36</v>
      </c>
      <c r="C40" s="100">
        <v>6.2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25.68103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1.77188E-2</v>
      </c>
      <c r="D45" s="12"/>
    </row>
    <row r="46" spans="1:5" ht="15.75" customHeight="1" x14ac:dyDescent="0.25">
      <c r="B46" s="11" t="s">
        <v>41</v>
      </c>
      <c r="C46" s="45">
        <v>0.1052503</v>
      </c>
      <c r="D46" s="12"/>
    </row>
    <row r="47" spans="1:5" ht="15.75" customHeight="1" x14ac:dyDescent="0.25">
      <c r="B47" s="11" t="s">
        <v>42</v>
      </c>
      <c r="C47" s="45">
        <v>0.40861540000000002</v>
      </c>
      <c r="D47" s="12"/>
      <c r="E47" s="13"/>
    </row>
    <row r="48" spans="1:5" ht="15" customHeight="1" x14ac:dyDescent="0.25">
      <c r="B48" s="11" t="s">
        <v>43</v>
      </c>
      <c r="C48" s="46">
        <v>0.46841549999999998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0.48581400000000002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3.3420706456999988E-2</v>
      </c>
      <c r="C2" s="98">
        <v>0.95</v>
      </c>
      <c r="D2" s="56">
        <v>35.180119803198373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54.64653115467285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56.177874626950199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0.18295608825211421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17.330280382167182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17.330280382167182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17.330280382167182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17.330280382167182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17.330280382167182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17.330280382167182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0.14616947995580001</v>
      </c>
      <c r="C16" s="98">
        <v>0.95</v>
      </c>
      <c r="D16" s="56">
        <v>0.25634399313294071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0.6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1.4029197158578659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1.4029197158578659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0.30872719999999998</v>
      </c>
      <c r="C21" s="98">
        <v>0.95</v>
      </c>
      <c r="D21" s="56">
        <v>1.7527897966645061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29.517384791071638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8.1247000000000003E-3</v>
      </c>
      <c r="C23" s="98">
        <v>0.95</v>
      </c>
      <c r="D23" s="56">
        <v>5.6396812437985204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0.36148058905760999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4.2850491051999999E-2</v>
      </c>
      <c r="C27" s="98">
        <v>0.95</v>
      </c>
      <c r="D27" s="56">
        <v>25.052848461386919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0.46226600000000001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61.497953409889362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9.2499999999999999E-2</v>
      </c>
      <c r="C31" s="98">
        <v>0.95</v>
      </c>
      <c r="D31" s="56">
        <v>3.2132728803104968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0.41937809999999998</v>
      </c>
      <c r="C32" s="98">
        <v>0.95</v>
      </c>
      <c r="D32" s="56">
        <v>0.47407668456460789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0.5595194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0.57999999999999996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9.6197400000000002E-2</v>
      </c>
      <c r="C38" s="98">
        <v>0.95</v>
      </c>
      <c r="D38" s="56">
        <v>9.1972159117845038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0.220586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0.21548583178571412</v>
      </c>
      <c r="C3" s="21">
        <f>frac_mam_1_5months * 2.6</f>
        <v>0.21548583178571412</v>
      </c>
      <c r="D3" s="21">
        <f>frac_mam_6_11months * 2.6</f>
        <v>0.22118084392857157</v>
      </c>
      <c r="E3" s="21">
        <f>frac_mam_12_23months * 2.6</f>
        <v>0.21263177000000003</v>
      </c>
      <c r="F3" s="21">
        <f>frac_mam_24_59months * 2.6</f>
        <v>0.16060133607142846</v>
      </c>
    </row>
    <row r="4" spans="1:6" ht="15.75" customHeight="1" x14ac:dyDescent="0.25">
      <c r="A4" s="3" t="s">
        <v>205</v>
      </c>
      <c r="B4" s="21">
        <f>frac_sam_1month * 2.6</f>
        <v>0.13967873678571435</v>
      </c>
      <c r="C4" s="21">
        <f>frac_sam_1_5months * 2.6</f>
        <v>0.13967873678571435</v>
      </c>
      <c r="D4" s="21">
        <f>frac_sam_6_11months * 2.6</f>
        <v>0.103009855</v>
      </c>
      <c r="E4" s="21">
        <f>frac_sam_12_23months * 2.6</f>
        <v>8.6590799285714365E-2</v>
      </c>
      <c r="F4" s="21">
        <f>frac_sam_24_59months * 2.6</f>
        <v>5.4946120357142823E-2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0.45</v>
      </c>
      <c r="E2" s="60">
        <f>food_insecure</f>
        <v>0.45</v>
      </c>
      <c r="F2" s="60">
        <f>food_insecure</f>
        <v>0.45</v>
      </c>
      <c r="G2" s="60">
        <f>food_insecure</f>
        <v>0.45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0.45</v>
      </c>
      <c r="F5" s="60">
        <f>food_insecure</f>
        <v>0.45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0.45</v>
      </c>
      <c r="F8" s="60">
        <f>food_insecure</f>
        <v>0.45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0.45</v>
      </c>
      <c r="F9" s="60">
        <f>food_insecure</f>
        <v>0.45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0.61499999999999999</v>
      </c>
      <c r="E10" s="60">
        <f>IF(ISBLANK(comm_deliv), frac_children_health_facility,1)</f>
        <v>0.61499999999999999</v>
      </c>
      <c r="F10" s="60">
        <f>IF(ISBLANK(comm_deliv), frac_children_health_facility,1)</f>
        <v>0.61499999999999999</v>
      </c>
      <c r="G10" s="60">
        <f>IF(ISBLANK(comm_deliv), frac_children_health_facility,1)</f>
        <v>0.61499999999999999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0.45</v>
      </c>
      <c r="I15" s="60">
        <f>food_insecure</f>
        <v>0.45</v>
      </c>
      <c r="J15" s="60">
        <f>food_insecure</f>
        <v>0.45</v>
      </c>
      <c r="K15" s="60">
        <f>food_insecure</f>
        <v>0.45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0.17799999999999999</v>
      </c>
      <c r="I18" s="60">
        <f>frac_PW_health_facility</f>
        <v>0.17799999999999999</v>
      </c>
      <c r="J18" s="60">
        <f>frac_PW_health_facility</f>
        <v>0.17799999999999999</v>
      </c>
      <c r="K18" s="60">
        <f>frac_PW_health_facility</f>
        <v>0.17799999999999999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3.2400000000000012E-2</v>
      </c>
      <c r="I19" s="60">
        <f>frac_malaria_risk</f>
        <v>3.2400000000000012E-2</v>
      </c>
      <c r="J19" s="60">
        <f>frac_malaria_risk</f>
        <v>3.2400000000000012E-2</v>
      </c>
      <c r="K19" s="60">
        <f>frac_malaria_risk</f>
        <v>3.2400000000000012E-2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0.57899999999999996</v>
      </c>
      <c r="M24" s="60">
        <f>famplan_unmet_need</f>
        <v>0.57899999999999996</v>
      </c>
      <c r="N24" s="60">
        <f>famplan_unmet_need</f>
        <v>0.57899999999999996</v>
      </c>
      <c r="O24" s="60">
        <f>famplan_unmet_need</f>
        <v>0.57899999999999996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0.37320774505615206</v>
      </c>
      <c r="M25" s="60">
        <f>(1-food_insecure)*(0.49)+food_insecure*(0.7)</f>
        <v>0.58450000000000002</v>
      </c>
      <c r="N25" s="60">
        <f>(1-food_insecure)*(0.49)+food_insecure*(0.7)</f>
        <v>0.58450000000000002</v>
      </c>
      <c r="O25" s="60">
        <f>(1-food_insecure)*(0.49)+food_insecure*(0.7)</f>
        <v>0.58450000000000002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0.15994617645263659</v>
      </c>
      <c r="M26" s="60">
        <f>(1-food_insecure)*(0.21)+food_insecure*(0.3)</f>
        <v>0.2505</v>
      </c>
      <c r="N26" s="60">
        <f>(1-food_insecure)*(0.21)+food_insecure*(0.3)</f>
        <v>0.2505</v>
      </c>
      <c r="O26" s="60">
        <f>(1-food_insecure)*(0.21)+food_insecure*(0.3)</f>
        <v>0.2505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0.10535376892089836</v>
      </c>
      <c r="M27" s="60">
        <f>(1-food_insecure)*(0.3)</f>
        <v>0.16500000000000001</v>
      </c>
      <c r="N27" s="60">
        <f>(1-food_insecure)*(0.3)</f>
        <v>0.16500000000000001</v>
      </c>
      <c r="O27" s="60">
        <f>(1-food_insecure)*(0.3)</f>
        <v>0.16500000000000001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0.36149230957031298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3.2400000000000012E-2</v>
      </c>
      <c r="D34" s="60">
        <f t="shared" si="3"/>
        <v>3.2400000000000012E-2</v>
      </c>
      <c r="E34" s="60">
        <f t="shared" si="3"/>
        <v>3.2400000000000012E-2</v>
      </c>
      <c r="F34" s="60">
        <f t="shared" si="3"/>
        <v>3.2400000000000012E-2</v>
      </c>
      <c r="G34" s="60">
        <f t="shared" si="3"/>
        <v>3.2400000000000012E-2</v>
      </c>
      <c r="H34" s="60">
        <f t="shared" si="3"/>
        <v>3.2400000000000012E-2</v>
      </c>
      <c r="I34" s="60">
        <f t="shared" si="3"/>
        <v>3.2400000000000012E-2</v>
      </c>
      <c r="J34" s="60">
        <f t="shared" si="3"/>
        <v>3.2400000000000012E-2</v>
      </c>
      <c r="K34" s="60">
        <f t="shared" si="3"/>
        <v>3.2400000000000012E-2</v>
      </c>
      <c r="L34" s="60">
        <f t="shared" si="3"/>
        <v>3.2400000000000012E-2</v>
      </c>
      <c r="M34" s="60">
        <f t="shared" si="3"/>
        <v>3.2400000000000012E-2</v>
      </c>
      <c r="N34" s="60">
        <f t="shared" si="3"/>
        <v>3.2400000000000012E-2</v>
      </c>
      <c r="O34" s="60">
        <f t="shared" si="3"/>
        <v>3.2400000000000012E-2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1170332.544</v>
      </c>
      <c r="C2" s="49">
        <v>2418000</v>
      </c>
      <c r="D2" s="49">
        <v>3820000</v>
      </c>
      <c r="E2" s="49">
        <v>2482000</v>
      </c>
      <c r="F2" s="49">
        <v>1682000</v>
      </c>
      <c r="G2" s="17">
        <f t="shared" ref="G2:G13" si="0">C2+D2+E2+F2</f>
        <v>10402000</v>
      </c>
      <c r="H2" s="17">
        <f t="shared" ref="H2:H13" si="1">(B2 + stillbirth*B2/(1000-stillbirth))/(1-abortion)</f>
        <v>1364977.3702492372</v>
      </c>
      <c r="I2" s="17">
        <f t="shared" ref="I2:I13" si="2">G2-H2</f>
        <v>9037022.6297507621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1169993.5759999999</v>
      </c>
      <c r="C3" s="50">
        <v>2448000</v>
      </c>
      <c r="D3" s="50">
        <v>3941000</v>
      </c>
      <c r="E3" s="50">
        <v>2579000</v>
      </c>
      <c r="F3" s="50">
        <v>1750000</v>
      </c>
      <c r="G3" s="17">
        <f t="shared" si="0"/>
        <v>10718000</v>
      </c>
      <c r="H3" s="17">
        <f t="shared" si="1"/>
        <v>1364582.0265056058</v>
      </c>
      <c r="I3" s="17">
        <f t="shared" si="2"/>
        <v>9353417.9734943938</v>
      </c>
    </row>
    <row r="4" spans="1:9" ht="15.75" customHeight="1" x14ac:dyDescent="0.25">
      <c r="A4" s="5">
        <f t="shared" si="3"/>
        <v>2026</v>
      </c>
      <c r="B4" s="49">
        <v>1172382.3684</v>
      </c>
      <c r="C4" s="50">
        <v>2462000</v>
      </c>
      <c r="D4" s="50">
        <v>4070000</v>
      </c>
      <c r="E4" s="50">
        <v>2687000</v>
      </c>
      <c r="F4" s="50">
        <v>1816000</v>
      </c>
      <c r="G4" s="17">
        <f t="shared" si="0"/>
        <v>11035000</v>
      </c>
      <c r="H4" s="17">
        <f t="shared" si="1"/>
        <v>1367368.1128918556</v>
      </c>
      <c r="I4" s="17">
        <f t="shared" si="2"/>
        <v>9667631.8871081434</v>
      </c>
    </row>
    <row r="5" spans="1:9" ht="15.75" customHeight="1" x14ac:dyDescent="0.25">
      <c r="A5" s="5">
        <f t="shared" si="3"/>
        <v>2027</v>
      </c>
      <c r="B5" s="49">
        <v>1173883.0567999999</v>
      </c>
      <c r="C5" s="50">
        <v>2460000</v>
      </c>
      <c r="D5" s="50">
        <v>4191000</v>
      </c>
      <c r="E5" s="50">
        <v>2804000</v>
      </c>
      <c r="F5" s="50">
        <v>1880000</v>
      </c>
      <c r="G5" s="17">
        <f t="shared" si="0"/>
        <v>11335000</v>
      </c>
      <c r="H5" s="17">
        <f t="shared" si="1"/>
        <v>1369118.3895258745</v>
      </c>
      <c r="I5" s="17">
        <f t="shared" si="2"/>
        <v>9965881.6104741246</v>
      </c>
    </row>
    <row r="6" spans="1:9" ht="15.75" customHeight="1" x14ac:dyDescent="0.25">
      <c r="A6" s="5">
        <f t="shared" si="3"/>
        <v>2028</v>
      </c>
      <c r="B6" s="49">
        <v>1174471.0236</v>
      </c>
      <c r="C6" s="50">
        <v>2452000</v>
      </c>
      <c r="D6" s="50">
        <v>4301000</v>
      </c>
      <c r="E6" s="50">
        <v>2926000</v>
      </c>
      <c r="F6" s="50">
        <v>1944000</v>
      </c>
      <c r="G6" s="17">
        <f t="shared" si="0"/>
        <v>11623000</v>
      </c>
      <c r="H6" s="17">
        <f t="shared" si="1"/>
        <v>1369804.144511133</v>
      </c>
      <c r="I6" s="17">
        <f t="shared" si="2"/>
        <v>10253195.855488867</v>
      </c>
    </row>
    <row r="7" spans="1:9" ht="15.75" customHeight="1" x14ac:dyDescent="0.25">
      <c r="A7" s="5">
        <f t="shared" si="3"/>
        <v>2029</v>
      </c>
      <c r="B7" s="49">
        <v>1174149.2531999999</v>
      </c>
      <c r="C7" s="50">
        <v>2448000</v>
      </c>
      <c r="D7" s="50">
        <v>4398000</v>
      </c>
      <c r="E7" s="50">
        <v>3053000</v>
      </c>
      <c r="F7" s="50">
        <v>2011000</v>
      </c>
      <c r="G7" s="17">
        <f t="shared" si="0"/>
        <v>11910000</v>
      </c>
      <c r="H7" s="17">
        <f t="shared" si="1"/>
        <v>1369428.8586005874</v>
      </c>
      <c r="I7" s="17">
        <f t="shared" si="2"/>
        <v>10540571.141399413</v>
      </c>
    </row>
    <row r="8" spans="1:9" ht="15.75" customHeight="1" x14ac:dyDescent="0.25">
      <c r="A8" s="5">
        <f t="shared" si="3"/>
        <v>2030</v>
      </c>
      <c r="B8" s="49">
        <v>1172870.5</v>
      </c>
      <c r="C8" s="50">
        <v>2455000</v>
      </c>
      <c r="D8" s="50">
        <v>4480000</v>
      </c>
      <c r="E8" s="50">
        <v>3180000</v>
      </c>
      <c r="F8" s="50">
        <v>2081000</v>
      </c>
      <c r="G8" s="17">
        <f t="shared" si="0"/>
        <v>12196000</v>
      </c>
      <c r="H8" s="17">
        <f t="shared" si="1"/>
        <v>1367937.4285031485</v>
      </c>
      <c r="I8" s="17">
        <f t="shared" si="2"/>
        <v>10828062.571496852</v>
      </c>
    </row>
    <row r="9" spans="1:9" ht="15.75" customHeight="1" x14ac:dyDescent="0.25">
      <c r="A9" s="5">
        <f t="shared" si="3"/>
        <v>2031</v>
      </c>
      <c r="B9" s="49">
        <v>1173233.0651428569</v>
      </c>
      <c r="C9" s="50">
        <v>2460285.7142857141</v>
      </c>
      <c r="D9" s="50">
        <v>4574285.7142857146</v>
      </c>
      <c r="E9" s="50">
        <v>3279714.2857142859</v>
      </c>
      <c r="F9" s="50">
        <v>2138000</v>
      </c>
      <c r="G9" s="17">
        <f t="shared" si="0"/>
        <v>12452285.714285715</v>
      </c>
      <c r="H9" s="17">
        <f t="shared" si="1"/>
        <v>1368360.2939679928</v>
      </c>
      <c r="I9" s="17">
        <f t="shared" si="2"/>
        <v>11083925.420317722</v>
      </c>
    </row>
    <row r="10" spans="1:9" ht="15.75" customHeight="1" x14ac:dyDescent="0.25">
      <c r="A10" s="5">
        <f t="shared" si="3"/>
        <v>2032</v>
      </c>
      <c r="B10" s="49">
        <v>1173695.8493061219</v>
      </c>
      <c r="C10" s="50">
        <v>2462040.8163265302</v>
      </c>
      <c r="D10" s="50">
        <v>4664755.102040817</v>
      </c>
      <c r="E10" s="50">
        <v>3379816.326530613</v>
      </c>
      <c r="F10" s="50">
        <v>2193428.5714285709</v>
      </c>
      <c r="G10" s="17">
        <f t="shared" si="0"/>
        <v>12700040.816326531</v>
      </c>
      <c r="H10" s="17">
        <f t="shared" si="1"/>
        <v>1368900.0464626192</v>
      </c>
      <c r="I10" s="17">
        <f t="shared" si="2"/>
        <v>11331140.769863911</v>
      </c>
    </row>
    <row r="11" spans="1:9" ht="15.75" customHeight="1" x14ac:dyDescent="0.25">
      <c r="A11" s="5">
        <f t="shared" si="3"/>
        <v>2033</v>
      </c>
      <c r="B11" s="49">
        <v>1173883.489435568</v>
      </c>
      <c r="C11" s="50">
        <v>2462046.6472303201</v>
      </c>
      <c r="D11" s="50">
        <v>4749720.1166180763</v>
      </c>
      <c r="E11" s="50">
        <v>3478790.0874635568</v>
      </c>
      <c r="F11" s="50">
        <v>2247346.9387755101</v>
      </c>
      <c r="G11" s="17">
        <f t="shared" si="0"/>
        <v>12937903.790087461</v>
      </c>
      <c r="H11" s="17">
        <f t="shared" si="1"/>
        <v>1369118.8941155854</v>
      </c>
      <c r="I11" s="17">
        <f t="shared" si="2"/>
        <v>11568784.895971876</v>
      </c>
    </row>
    <row r="12" spans="1:9" ht="15.75" customHeight="1" x14ac:dyDescent="0.25">
      <c r="A12" s="5">
        <f t="shared" si="3"/>
        <v>2034</v>
      </c>
      <c r="B12" s="49">
        <v>1173883.55124065</v>
      </c>
      <c r="C12" s="50">
        <v>2462339.0254060798</v>
      </c>
      <c r="D12" s="50">
        <v>4829537.2761349455</v>
      </c>
      <c r="E12" s="50">
        <v>3575188.6713869232</v>
      </c>
      <c r="F12" s="50">
        <v>2299825.072886297</v>
      </c>
      <c r="G12" s="17">
        <f t="shared" si="0"/>
        <v>13166890.045814246</v>
      </c>
      <c r="H12" s="17">
        <f t="shared" si="1"/>
        <v>1369118.9661998309</v>
      </c>
      <c r="I12" s="17">
        <f t="shared" si="2"/>
        <v>11797771.079614416</v>
      </c>
    </row>
    <row r="13" spans="1:9" ht="15.75" customHeight="1" x14ac:dyDescent="0.25">
      <c r="A13" s="5">
        <f t="shared" si="3"/>
        <v>2035</v>
      </c>
      <c r="B13" s="49">
        <v>1173799.626617885</v>
      </c>
      <c r="C13" s="50">
        <v>2463816.0290355198</v>
      </c>
      <c r="D13" s="50">
        <v>4905042.6012970796</v>
      </c>
      <c r="E13" s="50">
        <v>3667929.9101564828</v>
      </c>
      <c r="F13" s="50">
        <v>2350657.2261557681</v>
      </c>
      <c r="G13" s="17">
        <f t="shared" si="0"/>
        <v>13387445.76664485</v>
      </c>
      <c r="H13" s="17">
        <f t="shared" si="1"/>
        <v>1369021.0835839298</v>
      </c>
      <c r="I13" s="17">
        <f t="shared" si="2"/>
        <v>12018424.68306092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0.58868539542060538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0.53563856384276287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0.85515264784850797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0.82633361111851122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0.85515264784850797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0.82633361111851122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0.38746212453399753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0.3376621809254382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0.82020993116114049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0.78617698802105751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0.82020993116114049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0.78617698802105751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0.90251760638280187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0.88182002386798231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0.89059218631972226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0.86773365807130454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0.89059218631972226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0.86773365807130454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0.86883525708289611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1.9534098046590211E-2</v>
      </c>
    </row>
    <row r="4" spans="1:8" ht="15.75" customHeight="1" x14ac:dyDescent="0.25">
      <c r="B4" s="19" t="s">
        <v>69</v>
      </c>
      <c r="C4" s="101">
        <v>6.1386493861350512E-2</v>
      </c>
    </row>
    <row r="5" spans="1:8" ht="15.75" customHeight="1" x14ac:dyDescent="0.25">
      <c r="B5" s="19" t="s">
        <v>70</v>
      </c>
      <c r="C5" s="101">
        <v>8.0232691976730747E-2</v>
      </c>
    </row>
    <row r="6" spans="1:8" ht="15.75" customHeight="1" x14ac:dyDescent="0.25">
      <c r="B6" s="19" t="s">
        <v>71</v>
      </c>
      <c r="C6" s="101">
        <v>0.1940574805942524</v>
      </c>
    </row>
    <row r="7" spans="1:8" ht="15.75" customHeight="1" x14ac:dyDescent="0.25">
      <c r="B7" s="19" t="s">
        <v>72</v>
      </c>
      <c r="C7" s="101">
        <v>0.38271406172859451</v>
      </c>
    </row>
    <row r="8" spans="1:8" ht="15.75" customHeight="1" x14ac:dyDescent="0.25">
      <c r="B8" s="19" t="s">
        <v>73</v>
      </c>
      <c r="C8" s="101">
        <v>5.6656994334300581E-3</v>
      </c>
    </row>
    <row r="9" spans="1:8" ht="15.75" customHeight="1" x14ac:dyDescent="0.25">
      <c r="B9" s="19" t="s">
        <v>74</v>
      </c>
      <c r="C9" s="101">
        <v>5.6122894387710467E-2</v>
      </c>
    </row>
    <row r="10" spans="1:8" ht="15.75" customHeight="1" x14ac:dyDescent="0.25">
      <c r="B10" s="19" t="s">
        <v>75</v>
      </c>
      <c r="C10" s="101">
        <v>0.20028657997134119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0.14813738001346069</v>
      </c>
      <c r="D14" s="55">
        <v>0.14813738001346069</v>
      </c>
      <c r="E14" s="55">
        <v>0.14813738001346069</v>
      </c>
      <c r="F14" s="55">
        <v>0.14813738001346069</v>
      </c>
    </row>
    <row r="15" spans="1:8" ht="15.75" customHeight="1" x14ac:dyDescent="0.25">
      <c r="B15" s="19" t="s">
        <v>82</v>
      </c>
      <c r="C15" s="101">
        <v>0.34578053216219262</v>
      </c>
      <c r="D15" s="101">
        <v>0.34578053216219262</v>
      </c>
      <c r="E15" s="101">
        <v>0.34578053216219262</v>
      </c>
      <c r="F15" s="101">
        <v>0.34578053216219262</v>
      </c>
    </row>
    <row r="16" spans="1:8" ht="15.75" customHeight="1" x14ac:dyDescent="0.25">
      <c r="B16" s="19" t="s">
        <v>83</v>
      </c>
      <c r="C16" s="101">
        <v>3.4655738467156229E-2</v>
      </c>
      <c r="D16" s="101">
        <v>3.4655738467156229E-2</v>
      </c>
      <c r="E16" s="101">
        <v>3.4655738467156229E-2</v>
      </c>
      <c r="F16" s="101">
        <v>3.4655738467156229E-2</v>
      </c>
    </row>
    <row r="17" spans="1:8" ht="15.75" customHeight="1" x14ac:dyDescent="0.25">
      <c r="B17" s="19" t="s">
        <v>84</v>
      </c>
      <c r="C17" s="101">
        <v>1.1276825226316831E-2</v>
      </c>
      <c r="D17" s="101">
        <v>1.1276825226316831E-2</v>
      </c>
      <c r="E17" s="101">
        <v>1.1276825226316831E-2</v>
      </c>
      <c r="F17" s="101">
        <v>1.1276825226316831E-2</v>
      </c>
    </row>
    <row r="18" spans="1:8" ht="15.75" customHeight="1" x14ac:dyDescent="0.25">
      <c r="B18" s="19" t="s">
        <v>85</v>
      </c>
      <c r="C18" s="101">
        <v>1.698333737350857E-3</v>
      </c>
      <c r="D18" s="101">
        <v>1.698333737350857E-3</v>
      </c>
      <c r="E18" s="101">
        <v>1.698333737350857E-3</v>
      </c>
      <c r="F18" s="101">
        <v>1.698333737350857E-3</v>
      </c>
    </row>
    <row r="19" spans="1:8" ht="15.75" customHeight="1" x14ac:dyDescent="0.25">
      <c r="B19" s="19" t="s">
        <v>86</v>
      </c>
      <c r="C19" s="101">
        <v>2.5823030204128981E-2</v>
      </c>
      <c r="D19" s="101">
        <v>2.5823030204128981E-2</v>
      </c>
      <c r="E19" s="101">
        <v>2.5823030204128981E-2</v>
      </c>
      <c r="F19" s="101">
        <v>2.5823030204128981E-2</v>
      </c>
    </row>
    <row r="20" spans="1:8" ht="15.75" customHeight="1" x14ac:dyDescent="0.25">
      <c r="B20" s="19" t="s">
        <v>87</v>
      </c>
      <c r="C20" s="101">
        <v>3.3022044559235918E-3</v>
      </c>
      <c r="D20" s="101">
        <v>3.3022044559235918E-3</v>
      </c>
      <c r="E20" s="101">
        <v>3.3022044559235918E-3</v>
      </c>
      <c r="F20" s="101">
        <v>3.3022044559235918E-3</v>
      </c>
    </row>
    <row r="21" spans="1:8" ht="15.75" customHeight="1" x14ac:dyDescent="0.25">
      <c r="B21" s="19" t="s">
        <v>88</v>
      </c>
      <c r="C21" s="101">
        <v>0.2312457864158497</v>
      </c>
      <c r="D21" s="101">
        <v>0.2312457864158497</v>
      </c>
      <c r="E21" s="101">
        <v>0.2312457864158497</v>
      </c>
      <c r="F21" s="101">
        <v>0.2312457864158497</v>
      </c>
    </row>
    <row r="22" spans="1:8" ht="15.75" customHeight="1" x14ac:dyDescent="0.25">
      <c r="B22" s="19" t="s">
        <v>89</v>
      </c>
      <c r="C22" s="101">
        <v>0.1980801693176206</v>
      </c>
      <c r="D22" s="101">
        <v>0.1980801693176206</v>
      </c>
      <c r="E22" s="101">
        <v>0.1980801693176206</v>
      </c>
      <c r="F22" s="101">
        <v>0.1980801693176206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5.6316962999999998E-2</v>
      </c>
    </row>
    <row r="27" spans="1:8" ht="15.75" customHeight="1" x14ac:dyDescent="0.25">
      <c r="B27" s="19" t="s">
        <v>92</v>
      </c>
      <c r="C27" s="101">
        <v>9.746111E-3</v>
      </c>
    </row>
    <row r="28" spans="1:8" ht="15.75" customHeight="1" x14ac:dyDescent="0.25">
      <c r="B28" s="19" t="s">
        <v>93</v>
      </c>
      <c r="C28" s="101">
        <v>0.40384162200000001</v>
      </c>
    </row>
    <row r="29" spans="1:8" ht="15.75" customHeight="1" x14ac:dyDescent="0.25">
      <c r="B29" s="19" t="s">
        <v>94</v>
      </c>
      <c r="C29" s="101">
        <v>0.15108449600000001</v>
      </c>
    </row>
    <row r="30" spans="1:8" ht="15.75" customHeight="1" x14ac:dyDescent="0.25">
      <c r="B30" s="19" t="s">
        <v>95</v>
      </c>
      <c r="C30" s="101">
        <v>5.3471453999999988E-2</v>
      </c>
    </row>
    <row r="31" spans="1:8" ht="15.75" customHeight="1" x14ac:dyDescent="0.25">
      <c r="B31" s="19" t="s">
        <v>96</v>
      </c>
      <c r="C31" s="101">
        <v>2.1151507E-2</v>
      </c>
    </row>
    <row r="32" spans="1:8" ht="15.75" customHeight="1" x14ac:dyDescent="0.25">
      <c r="B32" s="19" t="s">
        <v>97</v>
      </c>
      <c r="C32" s="101">
        <v>7.030825000000001E-3</v>
      </c>
    </row>
    <row r="33" spans="2:3" ht="15.75" customHeight="1" x14ac:dyDescent="0.25">
      <c r="B33" s="19" t="s">
        <v>98</v>
      </c>
      <c r="C33" s="101">
        <v>0.17616351399999999</v>
      </c>
    </row>
    <row r="34" spans="2:3" ht="15.75" customHeight="1" x14ac:dyDescent="0.25">
      <c r="B34" s="19" t="s">
        <v>99</v>
      </c>
      <c r="C34" s="101">
        <v>0.12119350800000001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0.47748951465880585</v>
      </c>
      <c r="D2" s="52">
        <f>IFERROR(1-_xlfn.NORM.DIST(_xlfn.NORM.INV(SUM(D4:D5), 0, 1) + 1, 0, 1, TRUE), "")</f>
        <v>0.47748951465880585</v>
      </c>
      <c r="E2" s="52">
        <f>IFERROR(1-_xlfn.NORM.DIST(_xlfn.NORM.INV(SUM(E4:E5), 0, 1) + 1, 0, 1, TRUE), "")</f>
        <v>0.44427387128346996</v>
      </c>
      <c r="F2" s="52">
        <f>IFERROR(1-_xlfn.NORM.DIST(_xlfn.NORM.INV(SUM(F4:F5), 0, 1) + 1, 0, 1, TRUE), "")</f>
        <v>0.26835129037057226</v>
      </c>
      <c r="G2" s="52">
        <f>IFERROR(1-_xlfn.NORM.DIST(_xlfn.NORM.INV(SUM(G4:G5), 0, 1) + 1, 0, 1, TRUE), "")</f>
        <v>0.24059967202811738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0.34980927998405176</v>
      </c>
      <c r="D3" s="52">
        <f>IFERROR(_xlfn.NORM.DIST(_xlfn.NORM.INV(SUM(D4:D5), 0, 1) + 1, 0, 1, TRUE) - SUM(D4:D5), "")</f>
        <v>0.34980927998405176</v>
      </c>
      <c r="E3" s="52">
        <f>IFERROR(_xlfn.NORM.DIST(_xlfn.NORM.INV(SUM(E4:E5), 0, 1) + 1, 0, 1, TRUE) - SUM(E4:E5), "")</f>
        <v>0.36079244835938734</v>
      </c>
      <c r="F3" s="52">
        <f>IFERROR(_xlfn.NORM.DIST(_xlfn.NORM.INV(SUM(F4:F5), 0, 1) + 1, 0, 1, TRUE) - SUM(F4:F5), "")</f>
        <v>0.38048960962942774</v>
      </c>
      <c r="G3" s="52">
        <f>IFERROR(_xlfn.NORM.DIST(_xlfn.NORM.INV(SUM(G4:G5), 0, 1) + 1, 0, 1, TRUE) - SUM(G4:G5), "")</f>
        <v>0.37564213332902563</v>
      </c>
    </row>
    <row r="4" spans="1:15" ht="15.75" customHeight="1" x14ac:dyDescent="0.25">
      <c r="B4" s="5" t="s">
        <v>104</v>
      </c>
      <c r="C4" s="45">
        <v>0.100377583928571</v>
      </c>
      <c r="D4" s="53">
        <v>0.100377583928571</v>
      </c>
      <c r="E4" s="53">
        <v>0.120720032142857</v>
      </c>
      <c r="F4" s="53">
        <v>0.206891667857143</v>
      </c>
      <c r="G4" s="53">
        <v>0.224426075</v>
      </c>
    </row>
    <row r="5" spans="1:15" ht="15.75" customHeight="1" x14ac:dyDescent="0.25">
      <c r="B5" s="5" t="s">
        <v>105</v>
      </c>
      <c r="C5" s="45">
        <v>7.2323621428571391E-2</v>
      </c>
      <c r="D5" s="53">
        <v>7.2323621428571391E-2</v>
      </c>
      <c r="E5" s="53">
        <v>7.4213648214285707E-2</v>
      </c>
      <c r="F5" s="53">
        <v>0.14426743214285701</v>
      </c>
      <c r="G5" s="53">
        <v>0.15933211964285701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0.53812653814268863</v>
      </c>
      <c r="D8" s="52">
        <f>IFERROR(1-_xlfn.NORM.DIST(_xlfn.NORM.INV(SUM(D10:D11), 0, 1) + 1, 0, 1, TRUE), "")</f>
        <v>0.53812653814268863</v>
      </c>
      <c r="E8" s="52">
        <f>IFERROR(1-_xlfn.NORM.DIST(_xlfn.NORM.INV(SUM(E10:E11), 0, 1) + 1, 0, 1, TRUE), "")</f>
        <v>0.56035242159650323</v>
      </c>
      <c r="F8" s="52">
        <f>IFERROR(1-_xlfn.NORM.DIST(_xlfn.NORM.INV(SUM(F10:F11), 0, 1) + 1, 0, 1, TRUE), "")</f>
        <v>0.57922762492923829</v>
      </c>
      <c r="G8" s="52">
        <f>IFERROR(1-_xlfn.NORM.DIST(_xlfn.NORM.INV(SUM(G10:G11), 0, 1) + 1, 0, 1, TRUE), "")</f>
        <v>0.65018032637863876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0.32527170471445427</v>
      </c>
      <c r="D9" s="52">
        <f>IFERROR(_xlfn.NORM.DIST(_xlfn.NORM.INV(SUM(D10:D11), 0, 1) + 1, 0, 1, TRUE) - SUM(D10:D11), "")</f>
        <v>0.32527170471445427</v>
      </c>
      <c r="E9" s="52">
        <f>IFERROR(_xlfn.NORM.DIST(_xlfn.NORM.INV(SUM(E10:E11), 0, 1) + 1, 0, 1, TRUE) - SUM(E10:E11), "")</f>
        <v>0.31495884804635388</v>
      </c>
      <c r="F9" s="52">
        <f>IFERROR(_xlfn.NORM.DIST(_xlfn.NORM.INV(SUM(F10:F11), 0, 1) + 1, 0, 1, TRUE) - SUM(F10:F11), "")</f>
        <v>0.3056867714993331</v>
      </c>
      <c r="G9" s="52">
        <f>IFERROR(_xlfn.NORM.DIST(_xlfn.NORM.INV(SUM(G10:G11), 0, 1) + 1, 0, 1, TRUE) - SUM(G10:G11), "")</f>
        <v>0.26691680576421839</v>
      </c>
    </row>
    <row r="10" spans="1:15" ht="15.75" customHeight="1" x14ac:dyDescent="0.25">
      <c r="B10" s="5" t="s">
        <v>109</v>
      </c>
      <c r="C10" s="45">
        <v>8.2879166071428506E-2</v>
      </c>
      <c r="D10" s="53">
        <v>8.2879166071428506E-2</v>
      </c>
      <c r="E10" s="53">
        <v>8.5069555357142904E-2</v>
      </c>
      <c r="F10" s="53">
        <v>8.1781450000000006E-2</v>
      </c>
      <c r="G10" s="53">
        <v>6.1769744642857102E-2</v>
      </c>
    </row>
    <row r="11" spans="1:15" ht="15.75" customHeight="1" x14ac:dyDescent="0.25">
      <c r="B11" s="5" t="s">
        <v>110</v>
      </c>
      <c r="C11" s="45">
        <v>5.3722591071428599E-2</v>
      </c>
      <c r="D11" s="53">
        <v>5.3722591071428599E-2</v>
      </c>
      <c r="E11" s="53">
        <v>3.9619175E-2</v>
      </c>
      <c r="F11" s="53">
        <v>3.3304153571428602E-2</v>
      </c>
      <c r="G11" s="53">
        <v>2.11331232142857E-2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0.53504786775000002</v>
      </c>
      <c r="D14" s="54">
        <v>0.55257860089599997</v>
      </c>
      <c r="E14" s="54">
        <v>0.55257860089599997</v>
      </c>
      <c r="F14" s="54">
        <v>0.36355796776299998</v>
      </c>
      <c r="G14" s="54">
        <v>0.36355796776299998</v>
      </c>
      <c r="H14" s="45">
        <v>0.38200000000000001</v>
      </c>
      <c r="I14" s="55">
        <v>0.38200000000000001</v>
      </c>
      <c r="J14" s="55">
        <v>0.38200000000000001</v>
      </c>
      <c r="K14" s="55">
        <v>0.38200000000000001</v>
      </c>
      <c r="L14" s="45">
        <v>0.42399999999999999</v>
      </c>
      <c r="M14" s="55">
        <v>0.42399999999999999</v>
      </c>
      <c r="N14" s="55">
        <v>0.42399999999999999</v>
      </c>
      <c r="O14" s="55">
        <v>0.42399999999999999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0.2599337448230985</v>
      </c>
      <c r="D15" s="52">
        <f t="shared" si="0"/>
        <v>0.26845042041568934</v>
      </c>
      <c r="E15" s="52">
        <f t="shared" si="0"/>
        <v>0.26845042041568934</v>
      </c>
      <c r="F15" s="52">
        <f t="shared" si="0"/>
        <v>0.17662155055081408</v>
      </c>
      <c r="G15" s="52">
        <f t="shared" si="0"/>
        <v>0.17662155055081408</v>
      </c>
      <c r="H15" s="52">
        <f t="shared" si="0"/>
        <v>0.18558094800000002</v>
      </c>
      <c r="I15" s="52">
        <f t="shared" si="0"/>
        <v>0.18558094800000002</v>
      </c>
      <c r="J15" s="52">
        <f t="shared" si="0"/>
        <v>0.18558094800000002</v>
      </c>
      <c r="K15" s="52">
        <f t="shared" si="0"/>
        <v>0.18558094800000002</v>
      </c>
      <c r="L15" s="52">
        <f t="shared" si="0"/>
        <v>0.20598513600000001</v>
      </c>
      <c r="M15" s="52">
        <f t="shared" si="0"/>
        <v>0.20598513600000001</v>
      </c>
      <c r="N15" s="52">
        <f t="shared" si="0"/>
        <v>0.20598513600000001</v>
      </c>
      <c r="O15" s="52">
        <f t="shared" si="0"/>
        <v>0.20598513600000001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0.5678782</v>
      </c>
      <c r="D2" s="53">
        <v>0.41937809999999998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6.9442400000000001E-2</v>
      </c>
      <c r="D3" s="53">
        <v>0.1167952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0.34549809999999997</v>
      </c>
      <c r="D4" s="53">
        <v>0.42585460000000003</v>
      </c>
      <c r="E4" s="53">
        <v>0.90376299999999998</v>
      </c>
      <c r="F4" s="53">
        <v>0.73807869999999998</v>
      </c>
      <c r="G4" s="53">
        <v>0</v>
      </c>
    </row>
    <row r="5" spans="1:7" x14ac:dyDescent="0.25">
      <c r="B5" s="3" t="s">
        <v>122</v>
      </c>
      <c r="C5" s="52">
        <v>1.71813E-2</v>
      </c>
      <c r="D5" s="52">
        <v>3.7972100000000002E-2</v>
      </c>
      <c r="E5" s="52">
        <f>1-SUM(E2:E4)</f>
        <v>9.6237000000000017E-2</v>
      </c>
      <c r="F5" s="52">
        <f>1-SUM(F2:F4)</f>
        <v>0.26192130000000002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D900F8-F214-4F34-BFC8-2672D57AA098}"/>
</file>

<file path=customXml/itemProps2.xml><?xml version="1.0" encoding="utf-8"?>
<ds:datastoreItem xmlns:ds="http://schemas.openxmlformats.org/officeDocument/2006/customXml" ds:itemID="{24BC6678-BE46-42A1-A3A5-7425DDF598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2024-03-26T04:24:06Z</dcterms:modified>
</cp:coreProperties>
</file>