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BE0FA65C-2ED0-4032-A28F-B793AB1B5480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A39" i="2"/>
  <c r="H38" i="2"/>
  <c r="G38" i="2"/>
  <c r="I38" i="2" s="1"/>
  <c r="A37" i="2"/>
  <c r="A36" i="2"/>
  <c r="A35" i="2"/>
  <c r="A34" i="2"/>
  <c r="A32" i="2"/>
  <c r="A31" i="2"/>
  <c r="A29" i="2"/>
  <c r="A28" i="2"/>
  <c r="A27" i="2"/>
  <c r="A26" i="2"/>
  <c r="A24" i="2"/>
  <c r="A23" i="2"/>
  <c r="A21" i="2"/>
  <c r="A20" i="2"/>
  <c r="A19" i="2"/>
  <c r="A18" i="2"/>
  <c r="A16" i="2"/>
  <c r="A15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3" i="2" s="1"/>
  <c r="C33" i="1"/>
  <c r="C20" i="1"/>
  <c r="A4" i="2" l="1"/>
  <c r="A5" i="2" s="1"/>
  <c r="A6" i="2"/>
  <c r="A7" i="2" s="1"/>
  <c r="A8" i="2"/>
  <c r="A9" i="2" s="1"/>
  <c r="A10" i="2" s="1"/>
  <c r="A11" i="2" s="1"/>
  <c r="A12" i="2" s="1"/>
  <c r="A13" i="2" s="1"/>
  <c r="A14" i="2"/>
  <c r="A22" i="2"/>
  <c r="A30" i="2"/>
  <c r="A38" i="2"/>
  <c r="A40" i="2"/>
  <c r="A17" i="2"/>
  <c r="A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<sst xmlns="http://schemas.openxmlformats.org/spreadsheetml/2006/main" count="2092" uniqueCount="341">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</sst>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2134003.421875</v>
      </c>
    </row>
    <row r="8" spans="1:3" ht="15" customHeight="1" x14ac:dyDescent="0.25">
      <c r="B8" s="5" t="s">
        <v>8</v>
      </c>
      <c r="C8" s="44">
        <v>0.71799999999999997</v>
      </c>
    </row>
    <row r="9" spans="1:3" ht="15" customHeight="1" x14ac:dyDescent="0.25">
      <c r="B9" s="5" t="s">
        <v>9</v>
      </c>
      <c r="C9" s="45">
        <v>0.21</v>
      </c>
    </row>
    <row r="10" spans="1:3" ht="15" customHeight="1" x14ac:dyDescent="0.25">
      <c r="B10" s="5" t="s">
        <v>10</v>
      </c>
      <c r="C10" s="45">
        <v>0.31669290542602502</v>
      </c>
    </row>
    <row r="11" spans="1:3" ht="15" customHeight="1" x14ac:dyDescent="0.25">
      <c r="B11" s="5" t="s">
        <v>11</v>
      </c>
      <c r="C11" s="45">
        <v>0.49299999999999999</v>
      </c>
    </row>
    <row r="12" spans="1:3" ht="15" customHeight="1" x14ac:dyDescent="0.25">
      <c r="B12" s="5" t="s">
        <v>12</v>
      </c>
      <c r="C12" s="45">
        <v>0.625</v>
      </c>
    </row>
    <row r="13" spans="1:3" ht="15" customHeight="1" x14ac:dyDescent="0.25">
      <c r="B13" s="5" t="s">
        <v>13</v>
      </c>
      <c r="C13" s="45">
        <v>0.60699999999999998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3.6499999999999998E-2</v>
      </c>
    </row>
    <row r="24" spans="1:3" ht="15" customHeight="1" x14ac:dyDescent="0.25">
      <c r="B24" s="15" t="s">
        <v>22</v>
      </c>
      <c r="C24" s="45">
        <v>0.49450000000000011</v>
      </c>
    </row>
    <row r="25" spans="1:3" ht="15" customHeight="1" x14ac:dyDescent="0.25">
      <c r="B25" s="15" t="s">
        <v>23</v>
      </c>
      <c r="C25" s="45">
        <v>0.37509999999999999</v>
      </c>
    </row>
    <row r="26" spans="1:3" ht="15" customHeight="1" x14ac:dyDescent="0.25">
      <c r="B26" s="15" t="s">
        <v>24</v>
      </c>
      <c r="C26" s="45">
        <v>9.3900000000000011E-2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0.19090989580981799</v>
      </c>
    </row>
    <row r="30" spans="1:3" ht="14.25" customHeight="1" x14ac:dyDescent="0.25">
      <c r="B30" s="25" t="s">
        <v>27</v>
      </c>
      <c r="C30" s="99">
        <v>4.81342613461836E-2</v>
      </c>
    </row>
    <row r="31" spans="1:3" ht="14.25" customHeight="1" x14ac:dyDescent="0.25">
      <c r="B31" s="25" t="s">
        <v>28</v>
      </c>
      <c r="C31" s="99">
        <v>9.7345412653664407E-2</v>
      </c>
    </row>
    <row r="32" spans="1:3" ht="14.25" customHeight="1" x14ac:dyDescent="0.25">
      <c r="B32" s="25" t="s">
        <v>29</v>
      </c>
      <c r="C32" s="99">
        <v>0.66361043019033406</v>
      </c>
    </row>
    <row r="33" spans="1:5" ht="13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20.44547</v>
      </c>
    </row>
    <row r="38" spans="1:5" ht="15" customHeight="1" x14ac:dyDescent="0.25">
      <c r="B38" s="11" t="s">
        <v>34</v>
      </c>
      <c r="C38" s="43">
        <v>37.628990000000002</v>
      </c>
      <c r="D38" s="12"/>
      <c r="E38" s="13"/>
    </row>
    <row r="39" spans="1:5" ht="15" customHeight="1" x14ac:dyDescent="0.25">
      <c r="B39" s="11" t="s">
        <v>35</v>
      </c>
      <c r="C39" s="43">
        <v>52.604759999999999</v>
      </c>
      <c r="D39" s="12"/>
      <c r="E39" s="12"/>
    </row>
    <row r="40" spans="1:5" ht="15" customHeight="1" x14ac:dyDescent="0.25">
      <c r="B40" s="11" t="s">
        <v>36</v>
      </c>
      <c r="C40" s="100">
        <v>4.9400000000000004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18.240600000000001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7.9351999999999999E-3</v>
      </c>
      <c r="D45" s="12"/>
    </row>
    <row r="46" spans="1:5" ht="15.75" customHeight="1" x14ac:dyDescent="0.25">
      <c r="B46" s="11" t="s">
        <v>41</v>
      </c>
      <c r="C46" s="45">
        <v>8.5262499999999991E-2</v>
      </c>
      <c r="D46" s="12"/>
    </row>
    <row r="47" spans="1:5" ht="15.75" customHeight="1" x14ac:dyDescent="0.25">
      <c r="B47" s="11" t="s">
        <v>42</v>
      </c>
      <c r="C47" s="45">
        <v>7.3454400000000003E-2</v>
      </c>
      <c r="D47" s="12"/>
      <c r="E47" s="13"/>
    </row>
    <row r="48" spans="1:5" ht="15" customHeight="1" x14ac:dyDescent="0.25">
      <c r="B48" s="11" t="s">
        <v>43</v>
      </c>
      <c r="C48" s="46">
        <v>0.83334790000000003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0.53929500000000008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0.15131361999999901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0.29883277394507102</v>
      </c>
      <c r="C2" s="98">
        <v>0.95</v>
      </c>
      <c r="D2" s="56">
        <v>33.419328454162319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44.603258912802382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28.572744206474489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7.4814348689412974E-2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14.128320781922749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14.128320781922749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14.128320781922749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14.128320781922749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14.128320781922749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14.128320781922749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0.59005040706397904</v>
      </c>
      <c r="C16" s="98">
        <v>0.95</v>
      </c>
      <c r="D16" s="56">
        <v>0.184606911982414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0.77483113726549069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0.77483113726549069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0.73656490000000008</v>
      </c>
      <c r="C21" s="98">
        <v>0.95</v>
      </c>
      <c r="D21" s="56">
        <v>0.73944140975850148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24.050195803135828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1.6022E-3</v>
      </c>
      <c r="C23" s="98">
        <v>0.95</v>
      </c>
      <c r="D23" s="56">
        <v>4.6205668864219671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0.61549484716603098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0.30241852212064002</v>
      </c>
      <c r="C27" s="98">
        <v>0.95</v>
      </c>
      <c r="D27" s="56">
        <v>20.437528574582711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0.35550359999999998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57.479211577278647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6.9099999999999995E-2</v>
      </c>
      <c r="C31" s="98">
        <v>0.95</v>
      </c>
      <c r="D31" s="56">
        <v>0.64873348086651084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0.80849019999999994</v>
      </c>
      <c r="C32" s="98">
        <v>0.95</v>
      </c>
      <c r="D32" s="56">
        <v>0.33149430053697698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0.45690689999999989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0.1502725</v>
      </c>
      <c r="C38" s="98">
        <v>0.95</v>
      </c>
      <c r="D38" s="56">
        <v>4.0178537055808334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0.18486040000000001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8.4516380000000002E-2</v>
      </c>
      <c r="C3" s="21">
        <f>frac_mam_1_5months * 2.6</f>
        <v>8.4516380000000002E-2</v>
      </c>
      <c r="D3" s="21">
        <f>frac_mam_6_11months * 2.6</f>
        <v>0.2083276</v>
      </c>
      <c r="E3" s="21">
        <f>frac_mam_12_23months * 2.6</f>
        <v>0.18686278000000001</v>
      </c>
      <c r="F3" s="21">
        <f>frac_mam_24_59months * 2.6</f>
        <v>6.7911740000000012E-2</v>
      </c>
    </row>
    <row r="4" spans="1:6" ht="15.75" customHeight="1" x14ac:dyDescent="0.25">
      <c r="A4" s="3" t="s">
        <v>205</v>
      </c>
      <c r="B4" s="21">
        <f>frac_sam_1month * 2.6</f>
        <v>2.3434320000000002E-2</v>
      </c>
      <c r="C4" s="21">
        <f>frac_sam_1_5months * 2.6</f>
        <v>2.3434320000000002E-2</v>
      </c>
      <c r="D4" s="21">
        <f>frac_sam_6_11months * 2.6</f>
        <v>5.245006E-2</v>
      </c>
      <c r="E4" s="21">
        <f>frac_sam_12_23months * 2.6</f>
        <v>2.2148879999999999E-2</v>
      </c>
      <c r="F4" s="21">
        <f>frac_sam_24_59months * 2.6</f>
        <v>1.921426E-2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0.71799999999999997</v>
      </c>
      <c r="E2" s="60">
        <f>food_insecure</f>
        <v>0.71799999999999997</v>
      </c>
      <c r="F2" s="60">
        <f>food_insecure</f>
        <v>0.71799999999999997</v>
      </c>
      <c r="G2" s="60">
        <f>food_insecure</f>
        <v>0.71799999999999997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0.71799999999999997</v>
      </c>
      <c r="F5" s="60">
        <f>food_insecure</f>
        <v>0.71799999999999997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0.71799999999999997</v>
      </c>
      <c r="F8" s="60">
        <f>food_insecure</f>
        <v>0.71799999999999997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0.71799999999999997</v>
      </c>
      <c r="F9" s="60">
        <f>food_insecure</f>
        <v>0.71799999999999997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0.625</v>
      </c>
      <c r="E10" s="60">
        <f>IF(ISBLANK(comm_deliv), frac_children_health_facility,1)</f>
        <v>0.625</v>
      </c>
      <c r="F10" s="60">
        <f>IF(ISBLANK(comm_deliv), frac_children_health_facility,1)</f>
        <v>0.625</v>
      </c>
      <c r="G10" s="60">
        <f>IF(ISBLANK(comm_deliv), frac_children_health_facility,1)</f>
        <v>0.625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0.71799999999999997</v>
      </c>
      <c r="I15" s="60">
        <f>food_insecure</f>
        <v>0.71799999999999997</v>
      </c>
      <c r="J15" s="60">
        <f>food_insecure</f>
        <v>0.71799999999999997</v>
      </c>
      <c r="K15" s="60">
        <f>food_insecure</f>
        <v>0.71799999999999997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0.49299999999999999</v>
      </c>
      <c r="I18" s="60">
        <f>frac_PW_health_facility</f>
        <v>0.49299999999999999</v>
      </c>
      <c r="J18" s="60">
        <f>frac_PW_health_facility</f>
        <v>0.49299999999999999</v>
      </c>
      <c r="K18" s="60">
        <f>frac_PW_health_facility</f>
        <v>0.49299999999999999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0.21</v>
      </c>
      <c r="I19" s="60">
        <f>frac_malaria_risk</f>
        <v>0.21</v>
      </c>
      <c r="J19" s="60">
        <f>frac_malaria_risk</f>
        <v>0.21</v>
      </c>
      <c r="K19" s="60">
        <f>frac_malaria_risk</f>
        <v>0.21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0.60699999999999998</v>
      </c>
      <c r="M24" s="60">
        <f>famplan_unmet_need</f>
        <v>0.60699999999999998</v>
      </c>
      <c r="N24" s="60">
        <f>famplan_unmet_need</f>
        <v>0.60699999999999998</v>
      </c>
      <c r="O24" s="60">
        <f>famplan_unmet_need</f>
        <v>0.60699999999999998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0.43784952006111166</v>
      </c>
      <c r="M25" s="60">
        <f>(1-food_insecure)*(0.49)+food_insecure*(0.7)</f>
        <v>0.64077999999999991</v>
      </c>
      <c r="N25" s="60">
        <f>(1-food_insecure)*(0.49)+food_insecure*(0.7)</f>
        <v>0.64077999999999991</v>
      </c>
      <c r="O25" s="60">
        <f>(1-food_insecure)*(0.49)+food_insecure*(0.7)</f>
        <v>0.64077999999999991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0.18764979431190498</v>
      </c>
      <c r="M26" s="60">
        <f>(1-food_insecure)*(0.21)+food_insecure*(0.3)</f>
        <v>0.27461999999999998</v>
      </c>
      <c r="N26" s="60">
        <f>(1-food_insecure)*(0.21)+food_insecure*(0.3)</f>
        <v>0.27461999999999998</v>
      </c>
      <c r="O26" s="60">
        <f>(1-food_insecure)*(0.21)+food_insecure*(0.3)</f>
        <v>0.27461999999999998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5.7807780200958288E-2</v>
      </c>
      <c r="M27" s="60">
        <f>(1-food_insecure)*(0.3)</f>
        <v>8.4600000000000009E-2</v>
      </c>
      <c r="N27" s="60">
        <f>(1-food_insecure)*(0.3)</f>
        <v>8.4600000000000009E-2</v>
      </c>
      <c r="O27" s="60">
        <f>(1-food_insecure)*(0.3)</f>
        <v>8.4600000000000009E-2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0.31669290542602502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0.21</v>
      </c>
      <c r="D34" s="60">
        <f t="shared" si="3"/>
        <v>0.21</v>
      </c>
      <c r="E34" s="60">
        <f t="shared" si="3"/>
        <v>0.21</v>
      </c>
      <c r="F34" s="60">
        <f t="shared" si="3"/>
        <v>0.21</v>
      </c>
      <c r="G34" s="60">
        <f t="shared" si="3"/>
        <v>0.21</v>
      </c>
      <c r="H34" s="60">
        <f t="shared" si="3"/>
        <v>0.21</v>
      </c>
      <c r="I34" s="60">
        <f t="shared" si="3"/>
        <v>0.21</v>
      </c>
      <c r="J34" s="60">
        <f t="shared" si="3"/>
        <v>0.21</v>
      </c>
      <c r="K34" s="60">
        <f t="shared" si="3"/>
        <v>0.21</v>
      </c>
      <c r="L34" s="60">
        <f t="shared" si="3"/>
        <v>0.21</v>
      </c>
      <c r="M34" s="60">
        <f t="shared" si="3"/>
        <v>0.21</v>
      </c>
      <c r="N34" s="60">
        <f t="shared" si="3"/>
        <v>0.21</v>
      </c>
      <c r="O34" s="60">
        <f t="shared" si="3"/>
        <v>0.21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499734.14220000012</v>
      </c>
      <c r="C2" s="49">
        <v>708000</v>
      </c>
      <c r="D2" s="49">
        <v>1083000</v>
      </c>
      <c r="E2" s="49">
        <v>895000</v>
      </c>
      <c r="F2" s="49">
        <v>507000</v>
      </c>
      <c r="G2" s="17">
        <f t="shared" ref="G2:G13" si="0">C2+D2+E2+F2</f>
        <v>3193000</v>
      </c>
      <c r="H2" s="17">
        <f t="shared" ref="H2:H13" si="1">(B2 + stillbirth*B2/(1000-stillbirth))/(1-abortion)</f>
        <v>578430.62877264491</v>
      </c>
      <c r="I2" s="17">
        <f t="shared" ref="I2:I13" si="2">G2-H2</f>
        <v>2614569.3712273552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504548.34999999992</v>
      </c>
      <c r="C3" s="50">
        <v>738000</v>
      </c>
      <c r="D3" s="50">
        <v>1109000</v>
      </c>
      <c r="E3" s="50">
        <v>919000</v>
      </c>
      <c r="F3" s="50">
        <v>540000</v>
      </c>
      <c r="G3" s="17">
        <f t="shared" si="0"/>
        <v>3306000</v>
      </c>
      <c r="H3" s="17">
        <f t="shared" si="1"/>
        <v>584002.96215882688</v>
      </c>
      <c r="I3" s="17">
        <f t="shared" si="2"/>
        <v>2721997.0378411729</v>
      </c>
    </row>
    <row r="4" spans="1:9" ht="15.75" customHeight="1" x14ac:dyDescent="0.25">
      <c r="A4" s="5">
        <f t="shared" si="3"/>
        <v>2026</v>
      </c>
      <c r="B4" s="49">
        <v>511594.57380000001</v>
      </c>
      <c r="C4" s="50">
        <v>766000</v>
      </c>
      <c r="D4" s="50">
        <v>1140000</v>
      </c>
      <c r="E4" s="50">
        <v>937000</v>
      </c>
      <c r="F4" s="50">
        <v>577000</v>
      </c>
      <c r="G4" s="17">
        <f t="shared" si="0"/>
        <v>3420000</v>
      </c>
      <c r="H4" s="17">
        <f t="shared" si="1"/>
        <v>592158.80207235378</v>
      </c>
      <c r="I4" s="17">
        <f t="shared" si="2"/>
        <v>2827841.1979276463</v>
      </c>
    </row>
    <row r="5" spans="1:9" ht="15.75" customHeight="1" x14ac:dyDescent="0.25">
      <c r="A5" s="5">
        <f t="shared" si="3"/>
        <v>2027</v>
      </c>
      <c r="B5" s="49">
        <v>518431.78619999991</v>
      </c>
      <c r="C5" s="50">
        <v>793000</v>
      </c>
      <c r="D5" s="50">
        <v>1177000</v>
      </c>
      <c r="E5" s="50">
        <v>951000</v>
      </c>
      <c r="F5" s="50">
        <v>614000</v>
      </c>
      <c r="G5" s="17">
        <f t="shared" si="0"/>
        <v>3535000</v>
      </c>
      <c r="H5" s="17">
        <f t="shared" si="1"/>
        <v>600072.7161590989</v>
      </c>
      <c r="I5" s="17">
        <f t="shared" si="2"/>
        <v>2934927.2838409012</v>
      </c>
    </row>
    <row r="6" spans="1:9" ht="15.75" customHeight="1" x14ac:dyDescent="0.25">
      <c r="A6" s="5">
        <f t="shared" si="3"/>
        <v>2028</v>
      </c>
      <c r="B6" s="49">
        <v>525052.49319999991</v>
      </c>
      <c r="C6" s="50">
        <v>820000</v>
      </c>
      <c r="D6" s="50">
        <v>1219000</v>
      </c>
      <c r="E6" s="50">
        <v>962000</v>
      </c>
      <c r="F6" s="50">
        <v>653000</v>
      </c>
      <c r="G6" s="17">
        <f t="shared" si="0"/>
        <v>3654000</v>
      </c>
      <c r="H6" s="17">
        <f t="shared" si="1"/>
        <v>607736.03028862819</v>
      </c>
      <c r="I6" s="17">
        <f t="shared" si="2"/>
        <v>3046263.9697113717</v>
      </c>
    </row>
    <row r="7" spans="1:9" ht="15.75" customHeight="1" x14ac:dyDescent="0.25">
      <c r="A7" s="5">
        <f t="shared" si="3"/>
        <v>2029</v>
      </c>
      <c r="B7" s="49">
        <v>531483.73739999987</v>
      </c>
      <c r="C7" s="50">
        <v>846000</v>
      </c>
      <c r="D7" s="50">
        <v>1265000</v>
      </c>
      <c r="E7" s="50">
        <v>974000</v>
      </c>
      <c r="F7" s="50">
        <v>690000</v>
      </c>
      <c r="G7" s="17">
        <f t="shared" si="0"/>
        <v>3775000</v>
      </c>
      <c r="H7" s="17">
        <f t="shared" si="1"/>
        <v>615180.04564051016</v>
      </c>
      <c r="I7" s="17">
        <f t="shared" si="2"/>
        <v>3159819.95435949</v>
      </c>
    </row>
    <row r="8" spans="1:9" ht="15.75" customHeight="1" x14ac:dyDescent="0.25">
      <c r="A8" s="5">
        <f t="shared" si="3"/>
        <v>2030</v>
      </c>
      <c r="B8" s="49">
        <v>537750.56299999997</v>
      </c>
      <c r="C8" s="50">
        <v>872000</v>
      </c>
      <c r="D8" s="50">
        <v>1314000</v>
      </c>
      <c r="E8" s="50">
        <v>986000</v>
      </c>
      <c r="F8" s="50">
        <v>727000</v>
      </c>
      <c r="G8" s="17">
        <f t="shared" si="0"/>
        <v>3899000</v>
      </c>
      <c r="H8" s="17">
        <f t="shared" si="1"/>
        <v>622433.75029286463</v>
      </c>
      <c r="I8" s="17">
        <f t="shared" si="2"/>
        <v>3276566.2497071354</v>
      </c>
    </row>
    <row r="9" spans="1:9" ht="15.75" customHeight="1" x14ac:dyDescent="0.25">
      <c r="A9" s="5">
        <f t="shared" si="3"/>
        <v>2031</v>
      </c>
      <c r="B9" s="49">
        <v>543181.4802571428</v>
      </c>
      <c r="C9" s="50">
        <v>895428.57142857148</v>
      </c>
      <c r="D9" s="50">
        <v>1347000</v>
      </c>
      <c r="E9" s="50">
        <v>999000</v>
      </c>
      <c r="F9" s="50">
        <v>758428.57142857148</v>
      </c>
      <c r="G9" s="17">
        <f t="shared" si="0"/>
        <v>3999857.1428571427</v>
      </c>
      <c r="H9" s="17">
        <f t="shared" si="1"/>
        <v>628719.91051003896</v>
      </c>
      <c r="I9" s="17">
        <f t="shared" si="2"/>
        <v>3371137.2323471038</v>
      </c>
    </row>
    <row r="10" spans="1:9" ht="15.75" customHeight="1" x14ac:dyDescent="0.25">
      <c r="A10" s="5">
        <f t="shared" si="3"/>
        <v>2032</v>
      </c>
      <c r="B10" s="49">
        <v>548700.49886530603</v>
      </c>
      <c r="C10" s="50">
        <v>917918.36734693882</v>
      </c>
      <c r="D10" s="50">
        <v>1381000</v>
      </c>
      <c r="E10" s="50">
        <v>1010428.571428571</v>
      </c>
      <c r="F10" s="50">
        <v>789632.6530612245</v>
      </c>
      <c r="G10" s="17">
        <f t="shared" si="0"/>
        <v>4098979.5918367342</v>
      </c>
      <c r="H10" s="17">
        <f t="shared" si="1"/>
        <v>635108.04598878347</v>
      </c>
      <c r="I10" s="17">
        <f t="shared" si="2"/>
        <v>3463871.5458479505</v>
      </c>
    </row>
    <row r="11" spans="1:9" ht="15.75" customHeight="1" x14ac:dyDescent="0.25">
      <c r="A11" s="5">
        <f t="shared" si="3"/>
        <v>2033</v>
      </c>
      <c r="B11" s="49">
        <v>554001.34530320694</v>
      </c>
      <c r="C11" s="50">
        <v>939620.99125364434</v>
      </c>
      <c r="D11" s="50">
        <v>1415428.5714285709</v>
      </c>
      <c r="E11" s="50">
        <v>1020918.367346939</v>
      </c>
      <c r="F11" s="50">
        <v>820008.74635568517</v>
      </c>
      <c r="G11" s="17">
        <f t="shared" si="0"/>
        <v>4195976.6763848392</v>
      </c>
      <c r="H11" s="17">
        <f t="shared" si="1"/>
        <v>641243.65226255916</v>
      </c>
      <c r="I11" s="17">
        <f t="shared" si="2"/>
        <v>3554733.0241222801</v>
      </c>
    </row>
    <row r="12" spans="1:9" ht="15.75" customHeight="1" x14ac:dyDescent="0.25">
      <c r="A12" s="5">
        <f t="shared" si="3"/>
        <v>2034</v>
      </c>
      <c r="B12" s="49">
        <v>559082.71088937938</v>
      </c>
      <c r="C12" s="50">
        <v>960566.84714702214</v>
      </c>
      <c r="D12" s="50">
        <v>1449489.7959183671</v>
      </c>
      <c r="E12" s="50">
        <v>1030906.705539359</v>
      </c>
      <c r="F12" s="50">
        <v>849438.56726364023</v>
      </c>
      <c r="G12" s="17">
        <f t="shared" si="0"/>
        <v>4290401.9158683885</v>
      </c>
      <c r="H12" s="17">
        <f t="shared" si="1"/>
        <v>647125.21456305368</v>
      </c>
      <c r="I12" s="17">
        <f t="shared" si="2"/>
        <v>3643276.7013053349</v>
      </c>
    </row>
    <row r="13" spans="1:9" ht="15.75" customHeight="1" x14ac:dyDescent="0.25">
      <c r="A13" s="5">
        <f t="shared" si="3"/>
        <v>2035</v>
      </c>
      <c r="B13" s="49">
        <v>563944.17055929068</v>
      </c>
      <c r="C13" s="50">
        <v>980647.82531088241</v>
      </c>
      <c r="D13" s="50">
        <v>1482416.909620991</v>
      </c>
      <c r="E13" s="50">
        <v>1040750.52061641</v>
      </c>
      <c r="F13" s="50">
        <v>877501.21972987452</v>
      </c>
      <c r="G13" s="17">
        <f t="shared" si="0"/>
        <v>4381316.4752781577</v>
      </c>
      <c r="H13" s="17">
        <f t="shared" si="1"/>
        <v>652752.24088797136</v>
      </c>
      <c r="I13" s="17">
        <f t="shared" si="2"/>
        <v>3728564.2343901861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0.51446941563006243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0.42075775595067139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0.81381008807726196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0.74977309841609197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0.81381008807726196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0.74977309841609197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0.31894326614494606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0.24302062174576927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0.7715582184489459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0.69837536222982477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0.7715582184489459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0.69837536222982477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0.87268126482913166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0.82452623025339933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0.85768141416551658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0.80511998856496059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0.85768141416551658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0.80511998856496059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0.89459260040054811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1.14185011418501E-2</v>
      </c>
    </row>
    <row r="4" spans="1:8" ht="15.75" customHeight="1" x14ac:dyDescent="0.25">
      <c r="B4" s="19" t="s">
        <v>69</v>
      </c>
      <c r="C4" s="101">
        <v>5.5858105585810461E-2</v>
      </c>
    </row>
    <row r="5" spans="1:8" ht="15.75" customHeight="1" x14ac:dyDescent="0.25">
      <c r="B5" s="19" t="s">
        <v>70</v>
      </c>
      <c r="C5" s="101">
        <v>7.1107207110720647E-2</v>
      </c>
    </row>
    <row r="6" spans="1:8" ht="15.75" customHeight="1" x14ac:dyDescent="0.25">
      <c r="B6" s="19" t="s">
        <v>71</v>
      </c>
      <c r="C6" s="101">
        <v>0.24179002417900219</v>
      </c>
    </row>
    <row r="7" spans="1:8" ht="15.75" customHeight="1" x14ac:dyDescent="0.25">
      <c r="B7" s="19" t="s">
        <v>72</v>
      </c>
      <c r="C7" s="101">
        <v>0.42007884200788481</v>
      </c>
    </row>
    <row r="8" spans="1:8" ht="15.75" customHeight="1" x14ac:dyDescent="0.25">
      <c r="B8" s="19" t="s">
        <v>73</v>
      </c>
      <c r="C8" s="101">
        <v>1.6044001604400141E-3</v>
      </c>
    </row>
    <row r="9" spans="1:8" ht="15.75" customHeight="1" x14ac:dyDescent="0.25">
      <c r="B9" s="19" t="s">
        <v>74</v>
      </c>
      <c r="C9" s="101">
        <v>8.5042508504250727E-2</v>
      </c>
    </row>
    <row r="10" spans="1:8" ht="15.75" customHeight="1" x14ac:dyDescent="0.25">
      <c r="B10" s="19" t="s">
        <v>75</v>
      </c>
      <c r="C10" s="101">
        <v>0.113100411310041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0.16626712468180119</v>
      </c>
      <c r="D14" s="55">
        <v>0.16626712468180119</v>
      </c>
      <c r="E14" s="55">
        <v>0.16626712468180119</v>
      </c>
      <c r="F14" s="55">
        <v>0.16626712468180119</v>
      </c>
    </row>
    <row r="15" spans="1:8" ht="15.75" customHeight="1" x14ac:dyDescent="0.25">
      <c r="B15" s="19" t="s">
        <v>82</v>
      </c>
      <c r="C15" s="101">
        <v>0.24864910415544891</v>
      </c>
      <c r="D15" s="101">
        <v>0.24864910415544891</v>
      </c>
      <c r="E15" s="101">
        <v>0.24864910415544891</v>
      </c>
      <c r="F15" s="101">
        <v>0.24864910415544891</v>
      </c>
    </row>
    <row r="16" spans="1:8" ht="15.75" customHeight="1" x14ac:dyDescent="0.25">
      <c r="B16" s="19" t="s">
        <v>83</v>
      </c>
      <c r="C16" s="101">
        <v>1.9270554285524401E-2</v>
      </c>
      <c r="D16" s="101">
        <v>1.9270554285524401E-2</v>
      </c>
      <c r="E16" s="101">
        <v>1.9270554285524401E-2</v>
      </c>
      <c r="F16" s="101">
        <v>1.9270554285524401E-2</v>
      </c>
    </row>
    <row r="17" spans="1:8" ht="15.75" customHeight="1" x14ac:dyDescent="0.25">
      <c r="B17" s="19" t="s">
        <v>84</v>
      </c>
      <c r="C17" s="101">
        <v>1.1879726080528199E-3</v>
      </c>
      <c r="D17" s="101">
        <v>1.1879726080528199E-3</v>
      </c>
      <c r="E17" s="101">
        <v>1.1879726080528199E-3</v>
      </c>
      <c r="F17" s="101">
        <v>1.1879726080528199E-3</v>
      </c>
    </row>
    <row r="18" spans="1:8" ht="15.75" customHeight="1" x14ac:dyDescent="0.25">
      <c r="B18" s="19" t="s">
        <v>85</v>
      </c>
      <c r="C18" s="101">
        <v>0.17630239161648681</v>
      </c>
      <c r="D18" s="101">
        <v>0.17630239161648681</v>
      </c>
      <c r="E18" s="101">
        <v>0.17630239161648681</v>
      </c>
      <c r="F18" s="101">
        <v>0.17630239161648681</v>
      </c>
    </row>
    <row r="19" spans="1:8" ht="15.75" customHeight="1" x14ac:dyDescent="0.25">
      <c r="B19" s="19" t="s">
        <v>86</v>
      </c>
      <c r="C19" s="101">
        <v>1.6172462173686161E-2</v>
      </c>
      <c r="D19" s="101">
        <v>1.6172462173686161E-2</v>
      </c>
      <c r="E19" s="101">
        <v>1.6172462173686161E-2</v>
      </c>
      <c r="F19" s="101">
        <v>1.6172462173686161E-2</v>
      </c>
    </row>
    <row r="20" spans="1:8" ht="15.75" customHeight="1" x14ac:dyDescent="0.25">
      <c r="B20" s="19" t="s">
        <v>87</v>
      </c>
      <c r="C20" s="101">
        <v>3.4070708389334563E-2</v>
      </c>
      <c r="D20" s="101">
        <v>3.4070708389334563E-2</v>
      </c>
      <c r="E20" s="101">
        <v>3.4070708389334563E-2</v>
      </c>
      <c r="F20" s="101">
        <v>3.4070708389334563E-2</v>
      </c>
    </row>
    <row r="21" spans="1:8" ht="15.75" customHeight="1" x14ac:dyDescent="0.25">
      <c r="B21" s="19" t="s">
        <v>88</v>
      </c>
      <c r="C21" s="101">
        <v>0.13487070575469109</v>
      </c>
      <c r="D21" s="101">
        <v>0.13487070575469109</v>
      </c>
      <c r="E21" s="101">
        <v>0.13487070575469109</v>
      </c>
      <c r="F21" s="101">
        <v>0.13487070575469109</v>
      </c>
    </row>
    <row r="22" spans="1:8" ht="15.75" customHeight="1" x14ac:dyDescent="0.25">
      <c r="B22" s="19" t="s">
        <v>89</v>
      </c>
      <c r="C22" s="101">
        <v>0.20320897633497401</v>
      </c>
      <c r="D22" s="101">
        <v>0.20320897633497401</v>
      </c>
      <c r="E22" s="101">
        <v>0.20320897633497401</v>
      </c>
      <c r="F22" s="101">
        <v>0.20320897633497401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8.6116069000000003E-2</v>
      </c>
    </row>
    <row r="27" spans="1:8" ht="15.75" customHeight="1" x14ac:dyDescent="0.25">
      <c r="B27" s="19" t="s">
        <v>92</v>
      </c>
      <c r="C27" s="101">
        <v>8.4963420000000005E-3</v>
      </c>
    </row>
    <row r="28" spans="1:8" ht="15.75" customHeight="1" x14ac:dyDescent="0.25">
      <c r="B28" s="19" t="s">
        <v>93</v>
      </c>
      <c r="C28" s="101">
        <v>0.155313541</v>
      </c>
    </row>
    <row r="29" spans="1:8" ht="15.75" customHeight="1" x14ac:dyDescent="0.25">
      <c r="B29" s="19" t="s">
        <v>94</v>
      </c>
      <c r="C29" s="101">
        <v>0.16740253699999999</v>
      </c>
    </row>
    <row r="30" spans="1:8" ht="15.75" customHeight="1" x14ac:dyDescent="0.25">
      <c r="B30" s="19" t="s">
        <v>95</v>
      </c>
      <c r="C30" s="101">
        <v>0.104102105</v>
      </c>
    </row>
    <row r="31" spans="1:8" ht="15.75" customHeight="1" x14ac:dyDescent="0.25">
      <c r="B31" s="19" t="s">
        <v>96</v>
      </c>
      <c r="C31" s="101">
        <v>0.108491529</v>
      </c>
    </row>
    <row r="32" spans="1:8" ht="15.75" customHeight="1" x14ac:dyDescent="0.25">
      <c r="B32" s="19" t="s">
        <v>97</v>
      </c>
      <c r="C32" s="101">
        <v>1.8703009999999999E-2</v>
      </c>
    </row>
    <row r="33" spans="2:3" ht="15.75" customHeight="1" x14ac:dyDescent="0.25">
      <c r="B33" s="19" t="s">
        <v>98</v>
      </c>
      <c r="C33" s="101">
        <v>8.4263411999999996E-2</v>
      </c>
    </row>
    <row r="34" spans="2:3" ht="15.75" customHeight="1" x14ac:dyDescent="0.25">
      <c r="B34" s="19" t="s">
        <v>99</v>
      </c>
      <c r="C34" s="101">
        <v>0.267111455</v>
      </c>
    </row>
    <row r="35" spans="2:3" ht="15.75" customHeight="1" x14ac:dyDescent="0.25">
      <c r="B35" s="27" t="s">
        <v>30</v>
      </c>
      <c r="C35" s="48">
        <f>SUM(C26:C34)</f>
        <v>0.99999999999999989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0.37068314429207949</v>
      </c>
      <c r="D2" s="52">
        <f>IFERROR(1-_xlfn.NORM.DIST(_xlfn.NORM.INV(SUM(D4:D5), 0, 1) + 1, 0, 1, TRUE), "")</f>
        <v>0.37068314429207949</v>
      </c>
      <c r="E2" s="52">
        <f>IFERROR(1-_xlfn.NORM.DIST(_xlfn.NORM.INV(SUM(E4:E5), 0, 1) + 1, 0, 1, TRUE), "")</f>
        <v>0.22454743610341898</v>
      </c>
      <c r="F2" s="52">
        <f>IFERROR(1-_xlfn.NORM.DIST(_xlfn.NORM.INV(SUM(F4:F5), 0, 1) + 1, 0, 1, TRUE), "")</f>
        <v>0.10913201875680079</v>
      </c>
      <c r="G2" s="52">
        <f>IFERROR(1-_xlfn.NORM.DIST(_xlfn.NORM.INV(SUM(G4:G5), 0, 1) + 1, 0, 1, TRUE), "")</f>
        <v>9.2399633526358271E-2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0.37787375570792053</v>
      </c>
      <c r="D3" s="52">
        <f>IFERROR(_xlfn.NORM.DIST(_xlfn.NORM.INV(SUM(D4:D5), 0, 1) + 1, 0, 1, TRUE) - SUM(D4:D5), "")</f>
        <v>0.37787375570792053</v>
      </c>
      <c r="E3" s="52">
        <f>IFERROR(_xlfn.NORM.DIST(_xlfn.NORM.INV(SUM(E4:E5), 0, 1) + 1, 0, 1, TRUE) - SUM(E4:E5), "")</f>
        <v>0.37147896389658097</v>
      </c>
      <c r="F3" s="52">
        <f>IFERROR(_xlfn.NORM.DIST(_xlfn.NORM.INV(SUM(F4:F5), 0, 1) + 1, 0, 1, TRUE) - SUM(F4:F5), "")</f>
        <v>0.29946428124319924</v>
      </c>
      <c r="G3" s="52">
        <f>IFERROR(_xlfn.NORM.DIST(_xlfn.NORM.INV(SUM(G4:G5), 0, 1) + 1, 0, 1, TRUE) - SUM(G4:G5), "")</f>
        <v>0.27976636647364173</v>
      </c>
    </row>
    <row r="4" spans="1:15" ht="15.75" customHeight="1" x14ac:dyDescent="0.25">
      <c r="B4" s="5" t="s">
        <v>104</v>
      </c>
      <c r="C4" s="45">
        <v>0.1870077</v>
      </c>
      <c r="D4" s="53">
        <v>0.1870077</v>
      </c>
      <c r="E4" s="53">
        <v>0.27485120000000002</v>
      </c>
      <c r="F4" s="53">
        <v>0.35327150000000002</v>
      </c>
      <c r="G4" s="53">
        <v>0.3201291</v>
      </c>
    </row>
    <row r="5" spans="1:15" ht="15.75" customHeight="1" x14ac:dyDescent="0.25">
      <c r="B5" s="5" t="s">
        <v>105</v>
      </c>
      <c r="C5" s="45">
        <v>6.443539999999999E-2</v>
      </c>
      <c r="D5" s="53">
        <v>6.443539999999999E-2</v>
      </c>
      <c r="E5" s="53">
        <v>0.1291224</v>
      </c>
      <c r="F5" s="53">
        <v>0.23813219999999999</v>
      </c>
      <c r="G5" s="53">
        <v>0.3077049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0.7683180305331555</v>
      </c>
      <c r="D8" s="52">
        <f>IFERROR(1-_xlfn.NORM.DIST(_xlfn.NORM.INV(SUM(D10:D11), 0, 1) + 1, 0, 1, TRUE), "")</f>
        <v>0.7683180305331555</v>
      </c>
      <c r="E8" s="52">
        <f>IFERROR(1-_xlfn.NORM.DIST(_xlfn.NORM.INV(SUM(E10:E11), 0, 1) + 1, 0, 1, TRUE), "")</f>
        <v>0.61020337300018146</v>
      </c>
      <c r="F8" s="52">
        <f>IFERROR(1-_xlfn.NORM.DIST(_xlfn.NORM.INV(SUM(F10:F11), 0, 1) + 1, 0, 1, TRUE), "")</f>
        <v>0.65632690328581123</v>
      </c>
      <c r="G8" s="52">
        <f>IFERROR(1-_xlfn.NORM.DIST(_xlfn.NORM.INV(SUM(G10:G11), 0, 1) + 1, 0, 1, TRUE), "")</f>
        <v>0.79716564724788808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0.19016246946684451</v>
      </c>
      <c r="D9" s="52">
        <f>IFERROR(_xlfn.NORM.DIST(_xlfn.NORM.INV(SUM(D10:D11), 0, 1) + 1, 0, 1, TRUE) - SUM(D10:D11), "")</f>
        <v>0.19016246946684451</v>
      </c>
      <c r="E9" s="52">
        <f>IFERROR(_xlfn.NORM.DIST(_xlfn.NORM.INV(SUM(E10:E11), 0, 1) + 1, 0, 1, TRUE) - SUM(E10:E11), "")</f>
        <v>0.28949752699981857</v>
      </c>
      <c r="F9" s="52">
        <f>IFERROR(_xlfn.NORM.DIST(_xlfn.NORM.INV(SUM(F10:F11), 0, 1) + 1, 0, 1, TRUE) - SUM(F10:F11), "")</f>
        <v>0.26328399671418878</v>
      </c>
      <c r="G9" s="52">
        <f>IFERROR(_xlfn.NORM.DIST(_xlfn.NORM.INV(SUM(G10:G11), 0, 1) + 1, 0, 1, TRUE) - SUM(G10:G11), "")</f>
        <v>0.16932435275211188</v>
      </c>
    </row>
    <row r="10" spans="1:15" ht="15.75" customHeight="1" x14ac:dyDescent="0.25">
      <c r="B10" s="5" t="s">
        <v>109</v>
      </c>
      <c r="C10" s="45">
        <v>3.2506300000000002E-2</v>
      </c>
      <c r="D10" s="53">
        <v>3.2506300000000002E-2</v>
      </c>
      <c r="E10" s="53">
        <v>8.0126000000000003E-2</v>
      </c>
      <c r="F10" s="53">
        <v>7.1870299999999998E-2</v>
      </c>
      <c r="G10" s="53">
        <v>2.6119900000000001E-2</v>
      </c>
    </row>
    <row r="11" spans="1:15" ht="15.75" customHeight="1" x14ac:dyDescent="0.25">
      <c r="B11" s="5" t="s">
        <v>110</v>
      </c>
      <c r="C11" s="45">
        <v>9.0132000000000007E-3</v>
      </c>
      <c r="D11" s="53">
        <v>9.0132000000000007E-3</v>
      </c>
      <c r="E11" s="53">
        <v>2.0173099999999999E-2</v>
      </c>
      <c r="F11" s="53">
        <v>8.5188E-3</v>
      </c>
      <c r="G11" s="53">
        <v>7.3900999999999993E-3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0.85983660949999996</v>
      </c>
      <c r="D14" s="54">
        <v>0.842952287568</v>
      </c>
      <c r="E14" s="54">
        <v>0.842952287568</v>
      </c>
      <c r="F14" s="54">
        <v>0.53347847495900003</v>
      </c>
      <c r="G14" s="54">
        <v>0.53347847495900003</v>
      </c>
      <c r="H14" s="45">
        <v>0.309</v>
      </c>
      <c r="I14" s="55">
        <v>0.309</v>
      </c>
      <c r="J14" s="55">
        <v>0.309</v>
      </c>
      <c r="K14" s="55">
        <v>0.309</v>
      </c>
      <c r="L14" s="45">
        <v>0.26200000000000001</v>
      </c>
      <c r="M14" s="55">
        <v>0.26200000000000001</v>
      </c>
      <c r="N14" s="55">
        <v>0.26200000000000001</v>
      </c>
      <c r="O14" s="55">
        <v>0.26200000000000001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0.46370558432030257</v>
      </c>
      <c r="D15" s="52">
        <f t="shared" si="0"/>
        <v>0.45459995392398461</v>
      </c>
      <c r="E15" s="52">
        <f t="shared" si="0"/>
        <v>0.45459995392398461</v>
      </c>
      <c r="F15" s="52">
        <f t="shared" si="0"/>
        <v>0.28770227415301397</v>
      </c>
      <c r="G15" s="52">
        <f t="shared" si="0"/>
        <v>0.28770227415301397</v>
      </c>
      <c r="H15" s="52">
        <f t="shared" si="0"/>
        <v>0.16664215500000001</v>
      </c>
      <c r="I15" s="52">
        <f t="shared" si="0"/>
        <v>0.16664215500000001</v>
      </c>
      <c r="J15" s="52">
        <f t="shared" si="0"/>
        <v>0.16664215500000001</v>
      </c>
      <c r="K15" s="52">
        <f t="shared" si="0"/>
        <v>0.16664215500000001</v>
      </c>
      <c r="L15" s="52">
        <f t="shared" si="0"/>
        <v>0.14129529000000002</v>
      </c>
      <c r="M15" s="52">
        <f t="shared" si="0"/>
        <v>0.14129529000000002</v>
      </c>
      <c r="N15" s="52">
        <f t="shared" si="0"/>
        <v>0.14129529000000002</v>
      </c>
      <c r="O15" s="52">
        <f t="shared" si="0"/>
        <v>0.14129529000000002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0.94560889999999997</v>
      </c>
      <c r="D2" s="53">
        <v>0.80849019999999994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7.6427999999999999E-3</v>
      </c>
      <c r="D3" s="53">
        <v>7.9234600000000002E-2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1.2001899999999999E-2</v>
      </c>
      <c r="D4" s="53">
        <v>8.9781999999999987E-2</v>
      </c>
      <c r="E4" s="53">
        <v>0.97984899999999997</v>
      </c>
      <c r="F4" s="53">
        <v>0.89437330000000004</v>
      </c>
      <c r="G4" s="53">
        <v>0</v>
      </c>
    </row>
    <row r="5" spans="1:7" x14ac:dyDescent="0.25">
      <c r="B5" s="3" t="s">
        <v>122</v>
      </c>
      <c r="C5" s="52">
        <v>3.4746399999999997E-2</v>
      </c>
      <c r="D5" s="52">
        <v>2.2493200000000001E-2</v>
      </c>
      <c r="E5" s="52">
        <f>1-SUM(E2:E4)</f>
        <v>2.015100000000003E-2</v>
      </c>
      <c r="F5" s="52">
        <f>1-SUM(F2:F4)</f>
        <v>0.10562669999999996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785F67-A493-40C1-916F-958B28DECE4E}"/>
</file>

<file path=customXml/itemProps2.xml><?xml version="1.0" encoding="utf-8"?>
<ds:datastoreItem xmlns:ds="http://schemas.openxmlformats.org/officeDocument/2006/customXml" ds:itemID="{42C4EBC6-660B-4E2E-8D90-73C7D82B36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2024-03-26T04:24:16Z</dcterms:modified>
</cp:coreProperties>
</file>