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265E675D-D422-42EC-BB69-94053746055C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I39" i="2"/>
  <c r="H39" i="2"/>
  <c r="G39" i="2"/>
  <c r="A39" i="2"/>
  <c r="H38" i="2"/>
  <c r="I38" i="2" s="1"/>
  <c r="G38" i="2"/>
  <c r="A37" i="2"/>
  <c r="A36" i="2"/>
  <c r="A35" i="2"/>
  <c r="A34" i="2"/>
  <c r="A33" i="2"/>
  <c r="A32" i="2"/>
  <c r="A31" i="2"/>
  <c r="A29" i="2"/>
  <c r="A28" i="2"/>
  <c r="A27" i="2"/>
  <c r="A26" i="2"/>
  <c r="A25" i="2"/>
  <c r="A24" i="2"/>
  <c r="A23" i="2"/>
  <c r="A21" i="2"/>
  <c r="A20" i="2"/>
  <c r="A19" i="2"/>
  <c r="A18" i="2"/>
  <c r="A17" i="2"/>
  <c r="A16" i="2"/>
  <c r="A15" i="2"/>
  <c r="I13" i="2"/>
  <c r="H13" i="2"/>
  <c r="G13" i="2"/>
  <c r="H12" i="2"/>
  <c r="I12" i="2" s="1"/>
  <c r="G12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40" i="2" s="1"/>
  <c r="C33" i="1"/>
  <c r="C20" i="1"/>
  <c r="A4" i="2" l="1"/>
  <c r="A5" i="2" s="1"/>
  <c r="A6" i="2"/>
  <c r="A7" i="2" s="1"/>
  <c r="A8" i="2"/>
  <c r="A9" i="2" s="1"/>
  <c r="A10" i="2" s="1"/>
  <c r="A11" i="2" s="1"/>
  <c r="A12" i="2" s="1"/>
  <c r="A13" i="2" s="1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<sst xmlns="http://schemas.openxmlformats.org/spreadsheetml/2006/main" count="2092" uniqueCount="341">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</sst>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14530298.25</v>
      </c>
    </row>
    <row r="8" spans="1:3" ht="15" customHeight="1" x14ac:dyDescent="0.25">
      <c r="B8" s="5" t="s">
        <v>8</v>
      </c>
      <c r="C8" s="44">
        <v>0.14799999999999999</v>
      </c>
    </row>
    <row r="9" spans="1:3" ht="15" customHeight="1" x14ac:dyDescent="0.25">
      <c r="B9" s="5" t="s">
        <v>9</v>
      </c>
      <c r="C9" s="45">
        <v>0.48840000000000011</v>
      </c>
    </row>
    <row r="10" spans="1:3" ht="15" customHeight="1" x14ac:dyDescent="0.25">
      <c r="B10" s="5" t="s">
        <v>10</v>
      </c>
      <c r="C10" s="45">
        <v>0.66547080993652297</v>
      </c>
    </row>
    <row r="11" spans="1:3" ht="15" customHeight="1" x14ac:dyDescent="0.25">
      <c r="B11" s="5" t="s">
        <v>11</v>
      </c>
      <c r="C11" s="45">
        <v>0.37200000000000011</v>
      </c>
    </row>
    <row r="12" spans="1:3" ht="15" customHeight="1" x14ac:dyDescent="0.25">
      <c r="B12" s="5" t="s">
        <v>12</v>
      </c>
      <c r="C12" s="45">
        <v>0.42</v>
      </c>
    </row>
    <row r="13" spans="1:3" ht="15" customHeight="1" x14ac:dyDescent="0.25">
      <c r="B13" s="5" t="s">
        <v>13</v>
      </c>
      <c r="C13" s="45">
        <v>0.27500000000000002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0.20180000000000001</v>
      </c>
    </row>
    <row r="24" spans="1:3" ht="15" customHeight="1" x14ac:dyDescent="0.25">
      <c r="B24" s="15" t="s">
        <v>22</v>
      </c>
      <c r="C24" s="45">
        <v>0.58740000000000003</v>
      </c>
    </row>
    <row r="25" spans="1:3" ht="15" customHeight="1" x14ac:dyDescent="0.25">
      <c r="B25" s="15" t="s">
        <v>23</v>
      </c>
      <c r="C25" s="45">
        <v>0.18479999999999999</v>
      </c>
    </row>
    <row r="26" spans="1:3" ht="15" customHeight="1" x14ac:dyDescent="0.25">
      <c r="B26" s="15" t="s">
        <v>24</v>
      </c>
      <c r="C26" s="45">
        <v>2.5999999999999999E-2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0.38903520674993503</v>
      </c>
    </row>
    <row r="30" spans="1:3" ht="14.25" customHeight="1" x14ac:dyDescent="0.25">
      <c r="B30" s="25" t="s">
        <v>27</v>
      </c>
      <c r="C30" s="99">
        <v>3.0554486722926998E-2</v>
      </c>
    </row>
    <row r="31" spans="1:3" ht="14.25" customHeight="1" x14ac:dyDescent="0.25">
      <c r="B31" s="25" t="s">
        <v>28</v>
      </c>
      <c r="C31" s="99">
        <v>3.3490630273111603E-2</v>
      </c>
    </row>
    <row r="32" spans="1:3" ht="14.25" customHeight="1" x14ac:dyDescent="0.25">
      <c r="B32" s="25" t="s">
        <v>29</v>
      </c>
      <c r="C32" s="99">
        <v>0.54691967625402593</v>
      </c>
    </row>
    <row r="33" spans="1:5" ht="13" customHeight="1" x14ac:dyDescent="0.25">
      <c r="B33" s="27" t="s">
        <v>30</v>
      </c>
      <c r="C33" s="48">
        <f>SUM(C29:C32)</f>
        <v>0.99999999999999956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16.004100000000001</v>
      </c>
    </row>
    <row r="38" spans="1:5" ht="15" customHeight="1" x14ac:dyDescent="0.25">
      <c r="B38" s="11" t="s">
        <v>34</v>
      </c>
      <c r="C38" s="43">
        <v>22.90615</v>
      </c>
      <c r="D38" s="12"/>
      <c r="E38" s="13"/>
    </row>
    <row r="39" spans="1:5" ht="15" customHeight="1" x14ac:dyDescent="0.25">
      <c r="B39" s="11" t="s">
        <v>35</v>
      </c>
      <c r="C39" s="43">
        <v>27.273630000000001</v>
      </c>
      <c r="D39" s="12"/>
      <c r="E39" s="12"/>
    </row>
    <row r="40" spans="1:5" ht="15" customHeight="1" x14ac:dyDescent="0.25">
      <c r="B40" s="11" t="s">
        <v>36</v>
      </c>
      <c r="C40" s="100">
        <v>1.23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20.500170000000001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2.1753700000000001E-2</v>
      </c>
      <c r="D45" s="12"/>
    </row>
    <row r="46" spans="1:5" ht="15.75" customHeight="1" x14ac:dyDescent="0.25">
      <c r="B46" s="11" t="s">
        <v>41</v>
      </c>
      <c r="C46" s="45">
        <v>0.13988120000000001</v>
      </c>
      <c r="D46" s="12"/>
    </row>
    <row r="47" spans="1:5" ht="15.75" customHeight="1" x14ac:dyDescent="0.25">
      <c r="B47" s="11" t="s">
        <v>42</v>
      </c>
      <c r="C47" s="45">
        <v>0.39040259999999999</v>
      </c>
      <c r="D47" s="12"/>
      <c r="E47" s="13"/>
    </row>
    <row r="48" spans="1:5" ht="15" customHeight="1" x14ac:dyDescent="0.25">
      <c r="B48" s="11" t="s">
        <v>43</v>
      </c>
      <c r="C48" s="46">
        <v>0.44796249999999999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2.4</v>
      </c>
      <c r="D51" s="12"/>
    </row>
    <row r="52" spans="1:4" ht="15" customHeight="1" x14ac:dyDescent="0.25">
      <c r="B52" s="11" t="s">
        <v>46</v>
      </c>
      <c r="C52" s="100">
        <v>2.4</v>
      </c>
    </row>
    <row r="53" spans="1:4" ht="15.75" customHeight="1" x14ac:dyDescent="0.25">
      <c r="B53" s="11" t="s">
        <v>47</v>
      </c>
      <c r="C53" s="100">
        <v>2.4</v>
      </c>
    </row>
    <row r="54" spans="1:4" ht="15.75" customHeight="1" x14ac:dyDescent="0.25">
      <c r="B54" s="11" t="s">
        <v>48</v>
      </c>
      <c r="C54" s="100">
        <v>2.4</v>
      </c>
    </row>
    <row r="55" spans="1:4" ht="15.75" customHeight="1" x14ac:dyDescent="0.25">
      <c r="B55" s="11" t="s">
        <v>49</v>
      </c>
      <c r="C55" s="100">
        <v>2.4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2.1666666666666671E-2</v>
      </c>
    </row>
    <row r="59" spans="1:4" ht="15.75" customHeight="1" x14ac:dyDescent="0.25">
      <c r="B59" s="11" t="s">
        <v>52</v>
      </c>
      <c r="C59" s="45">
        <v>0.48978300000000002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0.27809780000000001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0.235302702406265</v>
      </c>
      <c r="C2" s="98">
        <v>0.95</v>
      </c>
      <c r="D2" s="56">
        <v>40.263780634947473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42.574020447454849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135.8779028845432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0.28463353307878098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13.591732347475441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13.591732347475441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13.591732347475441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13.591732347475441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13.591732347475441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13.591732347475441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0.37919859620596902</v>
      </c>
      <c r="C16" s="98">
        <v>0.95</v>
      </c>
      <c r="D16" s="56">
        <v>0.33097508532551267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0.98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3.2163028334016039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3.2163028334016039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0.49194979999999999</v>
      </c>
      <c r="C21" s="98">
        <v>0.95</v>
      </c>
      <c r="D21" s="56">
        <v>2.626153737244413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23.22190166838157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6.1071800000000002E-2</v>
      </c>
      <c r="C23" s="98">
        <v>0.95</v>
      </c>
      <c r="D23" s="56">
        <v>4.4935547009666941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0.38748887772116702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0.21523075240318201</v>
      </c>
      <c r="C27" s="98">
        <v>0.95</v>
      </c>
      <c r="D27" s="56">
        <v>19.59004600780592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0.72358090000000008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73.100645834826111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2.8E-3</v>
      </c>
      <c r="C31" s="98">
        <v>0.95</v>
      </c>
      <c r="D31" s="56">
        <v>2.265403049085001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0.59965789999999997</v>
      </c>
      <c r="C32" s="98">
        <v>0.95</v>
      </c>
      <c r="D32" s="56">
        <v>0.66493210580190532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0.59295189999999998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0.96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0.43587449999999989</v>
      </c>
      <c r="C38" s="98">
        <v>0.95</v>
      </c>
      <c r="D38" s="56">
        <v>1.6048641310337011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0.33847410000000011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2.4</v>
      </c>
      <c r="C2" s="21">
        <f>'Baseline year population inputs'!C52</f>
        <v>2.4</v>
      </c>
      <c r="D2" s="21">
        <f>'Baseline year population inputs'!C53</f>
        <v>2.4</v>
      </c>
      <c r="E2" s="21">
        <f>'Baseline year population inputs'!C54</f>
        <v>2.4</v>
      </c>
      <c r="F2" s="21">
        <f>'Baseline year population inputs'!C55</f>
        <v>2.4</v>
      </c>
    </row>
    <row r="3" spans="1:6" ht="15.75" customHeight="1" x14ac:dyDescent="0.25">
      <c r="A3" s="3" t="s">
        <v>204</v>
      </c>
      <c r="B3" s="21">
        <f>frac_mam_1month * 2.6</f>
        <v>0.1472965</v>
      </c>
      <c r="C3" s="21">
        <f>frac_mam_1_5months * 2.6</f>
        <v>0.1472965</v>
      </c>
      <c r="D3" s="21">
        <f>frac_mam_6_11months * 2.6</f>
        <v>0.20255742000000004</v>
      </c>
      <c r="E3" s="21">
        <f>frac_mam_12_23months * 2.6</f>
        <v>0.21930012000000004</v>
      </c>
      <c r="F3" s="21">
        <f>frac_mam_24_59months * 2.6</f>
        <v>0.19680622</v>
      </c>
    </row>
    <row r="4" spans="1:6" ht="15.75" customHeight="1" x14ac:dyDescent="0.25">
      <c r="A4" s="3" t="s">
        <v>205</v>
      </c>
      <c r="B4" s="21">
        <f>frac_sam_1month * 2.6</f>
        <v>0.10318516000000001</v>
      </c>
      <c r="C4" s="21">
        <f>frac_sam_1_5months * 2.6</f>
        <v>0.10318516000000001</v>
      </c>
      <c r="D4" s="21">
        <f>frac_sam_6_11months * 2.6</f>
        <v>6.2587199999999996E-2</v>
      </c>
      <c r="E4" s="21">
        <f>frac_sam_12_23months * 2.6</f>
        <v>6.20256E-2</v>
      </c>
      <c r="F4" s="21">
        <f>frac_sam_24_59months * 2.6</f>
        <v>4.9381800000000003E-2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0.14799999999999999</v>
      </c>
      <c r="E2" s="60">
        <f>food_insecure</f>
        <v>0.14799999999999999</v>
      </c>
      <c r="F2" s="60">
        <f>food_insecure</f>
        <v>0.14799999999999999</v>
      </c>
      <c r="G2" s="60">
        <f>food_insecure</f>
        <v>0.14799999999999999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0.14799999999999999</v>
      </c>
      <c r="F5" s="60">
        <f>food_insecure</f>
        <v>0.14799999999999999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0.14799999999999999</v>
      </c>
      <c r="F8" s="60">
        <f>food_insecure</f>
        <v>0.14799999999999999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0.14799999999999999</v>
      </c>
      <c r="F9" s="60">
        <f>food_insecure</f>
        <v>0.14799999999999999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0.42</v>
      </c>
      <c r="E10" s="60">
        <f>IF(ISBLANK(comm_deliv), frac_children_health_facility,1)</f>
        <v>0.42</v>
      </c>
      <c r="F10" s="60">
        <f>IF(ISBLANK(comm_deliv), frac_children_health_facility,1)</f>
        <v>0.42</v>
      </c>
      <c r="G10" s="60">
        <f>IF(ISBLANK(comm_deliv), frac_children_health_facility,1)</f>
        <v>0.42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0.14799999999999999</v>
      </c>
      <c r="I15" s="60">
        <f>food_insecure</f>
        <v>0.14799999999999999</v>
      </c>
      <c r="J15" s="60">
        <f>food_insecure</f>
        <v>0.14799999999999999</v>
      </c>
      <c r="K15" s="60">
        <f>food_insecure</f>
        <v>0.14799999999999999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0.37200000000000011</v>
      </c>
      <c r="I18" s="60">
        <f>frac_PW_health_facility</f>
        <v>0.37200000000000011</v>
      </c>
      <c r="J18" s="60">
        <f>frac_PW_health_facility</f>
        <v>0.37200000000000011</v>
      </c>
      <c r="K18" s="60">
        <f>frac_PW_health_facility</f>
        <v>0.37200000000000011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0.48840000000000011</v>
      </c>
      <c r="I19" s="60">
        <f>frac_malaria_risk</f>
        <v>0.48840000000000011</v>
      </c>
      <c r="J19" s="60">
        <f>frac_malaria_risk</f>
        <v>0.48840000000000011</v>
      </c>
      <c r="K19" s="60">
        <f>frac_malaria_risk</f>
        <v>0.48840000000000011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0.27500000000000002</v>
      </c>
      <c r="M24" s="60">
        <f>famplan_unmet_need</f>
        <v>0.27500000000000002</v>
      </c>
      <c r="N24" s="60">
        <f>famplan_unmet_need</f>
        <v>0.27500000000000002</v>
      </c>
      <c r="O24" s="60">
        <f>famplan_unmet_need</f>
        <v>0.27500000000000002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0.17431647035827658</v>
      </c>
      <c r="M25" s="60">
        <f>(1-food_insecure)*(0.49)+food_insecure*(0.7)</f>
        <v>0.52107999999999999</v>
      </c>
      <c r="N25" s="60">
        <f>(1-food_insecure)*(0.49)+food_insecure*(0.7)</f>
        <v>0.52107999999999999</v>
      </c>
      <c r="O25" s="60">
        <f>(1-food_insecure)*(0.49)+food_insecure*(0.7)</f>
        <v>0.52107999999999999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7.4707058724975683E-2</v>
      </c>
      <c r="M26" s="60">
        <f>(1-food_insecure)*(0.21)+food_insecure*(0.3)</f>
        <v>0.22331999999999999</v>
      </c>
      <c r="N26" s="60">
        <f>(1-food_insecure)*(0.21)+food_insecure*(0.3)</f>
        <v>0.22331999999999999</v>
      </c>
      <c r="O26" s="60">
        <f>(1-food_insecure)*(0.21)+food_insecure*(0.3)</f>
        <v>0.22331999999999999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8.5505660980224732E-2</v>
      </c>
      <c r="M27" s="60">
        <f>(1-food_insecure)*(0.3)</f>
        <v>0.25559999999999999</v>
      </c>
      <c r="N27" s="60">
        <f>(1-food_insecure)*(0.3)</f>
        <v>0.25559999999999999</v>
      </c>
      <c r="O27" s="60">
        <f>(1-food_insecure)*(0.3)</f>
        <v>0.25559999999999999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0.66547080993652297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0.48840000000000011</v>
      </c>
      <c r="D34" s="60">
        <f t="shared" si="3"/>
        <v>0.48840000000000011</v>
      </c>
      <c r="E34" s="60">
        <f t="shared" si="3"/>
        <v>0.48840000000000011</v>
      </c>
      <c r="F34" s="60">
        <f t="shared" si="3"/>
        <v>0.48840000000000011</v>
      </c>
      <c r="G34" s="60">
        <f t="shared" si="3"/>
        <v>0.48840000000000011</v>
      </c>
      <c r="H34" s="60">
        <f t="shared" si="3"/>
        <v>0.48840000000000011</v>
      </c>
      <c r="I34" s="60">
        <f t="shared" si="3"/>
        <v>0.48840000000000011</v>
      </c>
      <c r="J34" s="60">
        <f t="shared" si="3"/>
        <v>0.48840000000000011</v>
      </c>
      <c r="K34" s="60">
        <f t="shared" si="3"/>
        <v>0.48840000000000011</v>
      </c>
      <c r="L34" s="60">
        <f t="shared" si="3"/>
        <v>0.48840000000000011</v>
      </c>
      <c r="M34" s="60">
        <f t="shared" si="3"/>
        <v>0.48840000000000011</v>
      </c>
      <c r="N34" s="60">
        <f t="shared" si="3"/>
        <v>0.48840000000000011</v>
      </c>
      <c r="O34" s="60">
        <f t="shared" si="3"/>
        <v>0.48840000000000011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2872232.0172000001</v>
      </c>
      <c r="C2" s="49">
        <v>7591000</v>
      </c>
      <c r="D2" s="49">
        <v>15405000</v>
      </c>
      <c r="E2" s="49">
        <v>14334000</v>
      </c>
      <c r="F2" s="49">
        <v>12032000</v>
      </c>
      <c r="G2" s="17">
        <f t="shared" ref="G2:G13" si="0">C2+D2+E2+F2</f>
        <v>49362000</v>
      </c>
      <c r="H2" s="17">
        <f t="shared" ref="H2:H13" si="1">(B2 + stillbirth*B2/(1000-stillbirth))/(1-abortion)</f>
        <v>3332210.9096695348</v>
      </c>
      <c r="I2" s="17">
        <f t="shared" ref="I2:I13" si="2">G2-H2</f>
        <v>46029789.090330467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2839016.5380000002</v>
      </c>
      <c r="C3" s="50">
        <v>7516000</v>
      </c>
      <c r="D3" s="50">
        <v>15417000</v>
      </c>
      <c r="E3" s="50">
        <v>14417000</v>
      </c>
      <c r="F3" s="50">
        <v>12341000</v>
      </c>
      <c r="G3" s="17">
        <f t="shared" si="0"/>
        <v>49691000</v>
      </c>
      <c r="H3" s="17">
        <f t="shared" si="1"/>
        <v>3293676.0763074169</v>
      </c>
      <c r="I3" s="17">
        <f t="shared" si="2"/>
        <v>46397323.923692584</v>
      </c>
    </row>
    <row r="4" spans="1:9" ht="15.75" customHeight="1" x14ac:dyDescent="0.25">
      <c r="A4" s="5">
        <f t="shared" si="3"/>
        <v>2026</v>
      </c>
      <c r="B4" s="49">
        <v>2809397.9920000001</v>
      </c>
      <c r="C4" s="50">
        <v>7455000</v>
      </c>
      <c r="D4" s="50">
        <v>15411000</v>
      </c>
      <c r="E4" s="50">
        <v>14500000</v>
      </c>
      <c r="F4" s="50">
        <v>12618000</v>
      </c>
      <c r="G4" s="17">
        <f t="shared" si="0"/>
        <v>49984000</v>
      </c>
      <c r="H4" s="17">
        <f t="shared" si="1"/>
        <v>3259314.2136449562</v>
      </c>
      <c r="I4" s="17">
        <f t="shared" si="2"/>
        <v>46724685.786355041</v>
      </c>
    </row>
    <row r="5" spans="1:9" ht="15.75" customHeight="1" x14ac:dyDescent="0.25">
      <c r="A5" s="5">
        <f t="shared" si="3"/>
        <v>2027</v>
      </c>
      <c r="B5" s="49">
        <v>2777965.2540000002</v>
      </c>
      <c r="C5" s="50">
        <v>7400000</v>
      </c>
      <c r="D5" s="50">
        <v>15375000</v>
      </c>
      <c r="E5" s="50">
        <v>14577000</v>
      </c>
      <c r="F5" s="50">
        <v>12861000</v>
      </c>
      <c r="G5" s="17">
        <f t="shared" si="0"/>
        <v>50213000</v>
      </c>
      <c r="H5" s="17">
        <f t="shared" si="1"/>
        <v>3222847.6218594885</v>
      </c>
      <c r="I5" s="17">
        <f t="shared" si="2"/>
        <v>46990152.378140509</v>
      </c>
    </row>
    <row r="6" spans="1:9" ht="15.75" customHeight="1" x14ac:dyDescent="0.25">
      <c r="A6" s="5">
        <f t="shared" si="3"/>
        <v>2028</v>
      </c>
      <c r="B6" s="49">
        <v>2744784.41</v>
      </c>
      <c r="C6" s="50">
        <v>7352000</v>
      </c>
      <c r="D6" s="50">
        <v>15308000</v>
      </c>
      <c r="E6" s="50">
        <v>14650000</v>
      </c>
      <c r="F6" s="50">
        <v>13073000</v>
      </c>
      <c r="G6" s="17">
        <f t="shared" si="0"/>
        <v>50383000</v>
      </c>
      <c r="H6" s="17">
        <f t="shared" si="1"/>
        <v>3184352.9704153379</v>
      </c>
      <c r="I6" s="17">
        <f t="shared" si="2"/>
        <v>47198647.029584661</v>
      </c>
    </row>
    <row r="7" spans="1:9" ht="15.75" customHeight="1" x14ac:dyDescent="0.25">
      <c r="A7" s="5">
        <f t="shared" si="3"/>
        <v>2029</v>
      </c>
      <c r="B7" s="49">
        <v>2709935.04</v>
      </c>
      <c r="C7" s="50">
        <v>7308000</v>
      </c>
      <c r="D7" s="50">
        <v>15220000</v>
      </c>
      <c r="E7" s="50">
        <v>14722000</v>
      </c>
      <c r="F7" s="50">
        <v>13259000</v>
      </c>
      <c r="G7" s="17">
        <f t="shared" si="0"/>
        <v>50509000</v>
      </c>
      <c r="H7" s="17">
        <f t="shared" si="1"/>
        <v>3143922.5837983419</v>
      </c>
      <c r="I7" s="17">
        <f t="shared" si="2"/>
        <v>47365077.416201659</v>
      </c>
    </row>
    <row r="8" spans="1:9" ht="15.75" customHeight="1" x14ac:dyDescent="0.25">
      <c r="A8" s="5">
        <f t="shared" si="3"/>
        <v>2030</v>
      </c>
      <c r="B8" s="49">
        <v>2673537.5099999998</v>
      </c>
      <c r="C8" s="50">
        <v>7266000</v>
      </c>
      <c r="D8" s="50">
        <v>15116000</v>
      </c>
      <c r="E8" s="50">
        <v>14794000</v>
      </c>
      <c r="F8" s="50">
        <v>13422000</v>
      </c>
      <c r="G8" s="17">
        <f t="shared" si="0"/>
        <v>50598000</v>
      </c>
      <c r="H8" s="17">
        <f t="shared" si="1"/>
        <v>3101696.1042435113</v>
      </c>
      <c r="I8" s="17">
        <f t="shared" si="2"/>
        <v>47496303.895756491</v>
      </c>
    </row>
    <row r="9" spans="1:9" ht="15.75" customHeight="1" x14ac:dyDescent="0.25">
      <c r="A9" s="5">
        <f t="shared" si="3"/>
        <v>2031</v>
      </c>
      <c r="B9" s="49">
        <v>2645152.5803999999</v>
      </c>
      <c r="C9" s="50">
        <v>7219571.4285714282</v>
      </c>
      <c r="D9" s="50">
        <v>15074714.285714289</v>
      </c>
      <c r="E9" s="50">
        <v>14859714.285714289</v>
      </c>
      <c r="F9" s="50">
        <v>13620571.428571429</v>
      </c>
      <c r="G9" s="17">
        <f t="shared" si="0"/>
        <v>50774571.428571433</v>
      </c>
      <c r="H9" s="17">
        <f t="shared" si="1"/>
        <v>3068765.4177540797</v>
      </c>
      <c r="I9" s="17">
        <f t="shared" si="2"/>
        <v>47705806.010817356</v>
      </c>
    </row>
    <row r="10" spans="1:9" ht="15.75" customHeight="1" x14ac:dyDescent="0.25">
      <c r="A10" s="5">
        <f t="shared" si="3"/>
        <v>2032</v>
      </c>
      <c r="B10" s="49">
        <v>2617457.7293142849</v>
      </c>
      <c r="C10" s="50">
        <v>7177224.4897959176</v>
      </c>
      <c r="D10" s="50">
        <v>15025816.326530609</v>
      </c>
      <c r="E10" s="50">
        <v>14922959.183673469</v>
      </c>
      <c r="F10" s="50">
        <v>13803367.34693878</v>
      </c>
      <c r="G10" s="17">
        <f t="shared" si="0"/>
        <v>50929367.346938781</v>
      </c>
      <c r="H10" s="17">
        <f t="shared" si="1"/>
        <v>3036635.3236750304</v>
      </c>
      <c r="I10" s="17">
        <f t="shared" si="2"/>
        <v>47892732.023263752</v>
      </c>
    </row>
    <row r="11" spans="1:9" ht="15.75" customHeight="1" x14ac:dyDescent="0.25">
      <c r="A11" s="5">
        <f t="shared" si="3"/>
        <v>2033</v>
      </c>
      <c r="B11" s="49">
        <v>2590037.6917877551</v>
      </c>
      <c r="C11" s="50">
        <v>7137542.2740524774</v>
      </c>
      <c r="D11" s="50">
        <v>14970790.08746356</v>
      </c>
      <c r="E11" s="50">
        <v>14983381.924198249</v>
      </c>
      <c r="F11" s="50">
        <v>13972705.539358599</v>
      </c>
      <c r="G11" s="17">
        <f t="shared" si="0"/>
        <v>51064419.825072885</v>
      </c>
      <c r="H11" s="17">
        <f t="shared" si="1"/>
        <v>3004824.0536793279</v>
      </c>
      <c r="I11" s="17">
        <f t="shared" si="2"/>
        <v>48059595.77139356</v>
      </c>
    </row>
    <row r="12" spans="1:9" ht="15.75" customHeight="1" x14ac:dyDescent="0.25">
      <c r="A12" s="5">
        <f t="shared" si="3"/>
        <v>2034</v>
      </c>
      <c r="B12" s="49">
        <v>2563190.897186005</v>
      </c>
      <c r="C12" s="50">
        <v>7100048.313202831</v>
      </c>
      <c r="D12" s="50">
        <v>14913045.81424406</v>
      </c>
      <c r="E12" s="50">
        <v>15041436.484797999</v>
      </c>
      <c r="F12" s="50">
        <v>14131520.616409831</v>
      </c>
      <c r="G12" s="17">
        <f t="shared" si="0"/>
        <v>51186051.22865472</v>
      </c>
      <c r="H12" s="17">
        <f t="shared" si="1"/>
        <v>2973677.82965359</v>
      </c>
      <c r="I12" s="17">
        <f t="shared" si="2"/>
        <v>48212373.399001129</v>
      </c>
    </row>
    <row r="13" spans="1:9" ht="15.75" customHeight="1" x14ac:dyDescent="0.25">
      <c r="A13" s="5">
        <f t="shared" si="3"/>
        <v>2035</v>
      </c>
      <c r="B13" s="49">
        <v>2537248.966784006</v>
      </c>
      <c r="C13" s="50">
        <v>7064055.2150889495</v>
      </c>
      <c r="D13" s="50">
        <v>14856623.7877075</v>
      </c>
      <c r="E13" s="50">
        <v>15097355.982626289</v>
      </c>
      <c r="F13" s="50">
        <v>14282737.847325521</v>
      </c>
      <c r="G13" s="17">
        <f t="shared" si="0"/>
        <v>51300772.832748257</v>
      </c>
      <c r="H13" s="17">
        <f t="shared" si="1"/>
        <v>2943581.3809733405</v>
      </c>
      <c r="I13" s="17">
        <f t="shared" si="2"/>
        <v>48357191.451774918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0.59146579675390709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0.55359123353178219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0.85657065190560666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0.83647866440656948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0.85657065190560666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0.83647866440656948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0.39019372356280174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0.35403839897512845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0.82189876822160368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0.79809469093826024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0.82189876822160368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0.79809469093826024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0.90352423602156995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0.889158515111383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0.89170718493480605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0.87582368032730407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0.89170718493480605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0.87582368032730407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0.87415051598288451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1.1453498854650119E-2</v>
      </c>
    </row>
    <row r="4" spans="1:8" ht="15.75" customHeight="1" x14ac:dyDescent="0.25">
      <c r="B4" s="19" t="s">
        <v>69</v>
      </c>
      <c r="C4" s="101">
        <v>9.4447090555290908E-2</v>
      </c>
    </row>
    <row r="5" spans="1:8" ht="15.75" customHeight="1" x14ac:dyDescent="0.25">
      <c r="B5" s="19" t="s">
        <v>70</v>
      </c>
      <c r="C5" s="101">
        <v>8.4743491525650902E-2</v>
      </c>
    </row>
    <row r="6" spans="1:8" ht="15.75" customHeight="1" x14ac:dyDescent="0.25">
      <c r="B6" s="19" t="s">
        <v>71</v>
      </c>
      <c r="C6" s="101">
        <v>0.25140407485959188</v>
      </c>
    </row>
    <row r="7" spans="1:8" ht="15.75" customHeight="1" x14ac:dyDescent="0.25">
      <c r="B7" s="19" t="s">
        <v>72</v>
      </c>
      <c r="C7" s="101">
        <v>0.33003026699697391</v>
      </c>
    </row>
    <row r="8" spans="1:8" ht="15.75" customHeight="1" x14ac:dyDescent="0.25">
      <c r="B8" s="19" t="s">
        <v>73</v>
      </c>
      <c r="C8" s="101">
        <v>1.377999862200013E-3</v>
      </c>
    </row>
    <row r="9" spans="1:8" ht="15.75" customHeight="1" x14ac:dyDescent="0.25">
      <c r="B9" s="19" t="s">
        <v>74</v>
      </c>
      <c r="C9" s="101">
        <v>9.7865990213400936E-2</v>
      </c>
    </row>
    <row r="10" spans="1:8" ht="15.75" customHeight="1" x14ac:dyDescent="0.25">
      <c r="B10" s="19" t="s">
        <v>75</v>
      </c>
      <c r="C10" s="101">
        <v>0.1286775871322412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0.1701278815788132</v>
      </c>
      <c r="D14" s="55">
        <v>0.1701278815788132</v>
      </c>
      <c r="E14" s="55">
        <v>0.1701278815788132</v>
      </c>
      <c r="F14" s="55">
        <v>0.1701278815788132</v>
      </c>
    </row>
    <row r="15" spans="1:8" ht="15.75" customHeight="1" x14ac:dyDescent="0.25">
      <c r="B15" s="19" t="s">
        <v>82</v>
      </c>
      <c r="C15" s="101">
        <v>0.18319874540566811</v>
      </c>
      <c r="D15" s="101">
        <v>0.18319874540566811</v>
      </c>
      <c r="E15" s="101">
        <v>0.18319874540566811</v>
      </c>
      <c r="F15" s="101">
        <v>0.18319874540566811</v>
      </c>
    </row>
    <row r="16" spans="1:8" ht="15.75" customHeight="1" x14ac:dyDescent="0.25">
      <c r="B16" s="19" t="s">
        <v>83</v>
      </c>
      <c r="C16" s="101">
        <v>8.6408669263906192E-3</v>
      </c>
      <c r="D16" s="101">
        <v>8.6408669263906192E-3</v>
      </c>
      <c r="E16" s="101">
        <v>8.6408669263906192E-3</v>
      </c>
      <c r="F16" s="101">
        <v>8.6408669263906192E-3</v>
      </c>
    </row>
    <row r="17" spans="1:8" ht="15.75" customHeight="1" x14ac:dyDescent="0.25">
      <c r="B17" s="19" t="s">
        <v>84</v>
      </c>
      <c r="C17" s="101">
        <v>0.27638773713709541</v>
      </c>
      <c r="D17" s="101">
        <v>0.27638773713709541</v>
      </c>
      <c r="E17" s="101">
        <v>0.27638773713709541</v>
      </c>
      <c r="F17" s="101">
        <v>0.27638773713709541</v>
      </c>
    </row>
    <row r="18" spans="1:8" ht="15.75" customHeight="1" x14ac:dyDescent="0.25">
      <c r="B18" s="19" t="s">
        <v>85</v>
      </c>
      <c r="C18" s="101">
        <v>3.212324045668727E-4</v>
      </c>
      <c r="D18" s="101">
        <v>3.212324045668727E-4</v>
      </c>
      <c r="E18" s="101">
        <v>3.212324045668727E-4</v>
      </c>
      <c r="F18" s="101">
        <v>3.212324045668727E-4</v>
      </c>
    </row>
    <row r="19" spans="1:8" ht="15.75" customHeight="1" x14ac:dyDescent="0.25">
      <c r="B19" s="19" t="s">
        <v>86</v>
      </c>
      <c r="C19" s="101">
        <v>1.9480867300339509E-2</v>
      </c>
      <c r="D19" s="101">
        <v>1.9480867300339509E-2</v>
      </c>
      <c r="E19" s="101">
        <v>1.9480867300339509E-2</v>
      </c>
      <c r="F19" s="101">
        <v>1.9480867300339509E-2</v>
      </c>
    </row>
    <row r="20" spans="1:8" ht="15.75" customHeight="1" x14ac:dyDescent="0.25">
      <c r="B20" s="19" t="s">
        <v>87</v>
      </c>
      <c r="C20" s="101">
        <v>8.3718301442584563E-4</v>
      </c>
      <c r="D20" s="101">
        <v>8.3718301442584563E-4</v>
      </c>
      <c r="E20" s="101">
        <v>8.3718301442584563E-4</v>
      </c>
      <c r="F20" s="101">
        <v>8.3718301442584563E-4</v>
      </c>
    </row>
    <row r="21" spans="1:8" ht="15.75" customHeight="1" x14ac:dyDescent="0.25">
      <c r="B21" s="19" t="s">
        <v>88</v>
      </c>
      <c r="C21" s="101">
        <v>0.14678829307258109</v>
      </c>
      <c r="D21" s="101">
        <v>0.14678829307258109</v>
      </c>
      <c r="E21" s="101">
        <v>0.14678829307258109</v>
      </c>
      <c r="F21" s="101">
        <v>0.14678829307258109</v>
      </c>
    </row>
    <row r="22" spans="1:8" ht="15.75" customHeight="1" x14ac:dyDescent="0.25">
      <c r="B22" s="19" t="s">
        <v>89</v>
      </c>
      <c r="C22" s="101">
        <v>0.1942171931601194</v>
      </c>
      <c r="D22" s="101">
        <v>0.1942171931601194</v>
      </c>
      <c r="E22" s="101">
        <v>0.1942171931601194</v>
      </c>
      <c r="F22" s="101">
        <v>0.1942171931601194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2.5897033999999999E-2</v>
      </c>
    </row>
    <row r="27" spans="1:8" ht="15.75" customHeight="1" x14ac:dyDescent="0.25">
      <c r="B27" s="19" t="s">
        <v>92</v>
      </c>
      <c r="C27" s="101">
        <v>7.1412350000000001E-3</v>
      </c>
    </row>
    <row r="28" spans="1:8" ht="15.75" customHeight="1" x14ac:dyDescent="0.25">
      <c r="B28" s="19" t="s">
        <v>93</v>
      </c>
      <c r="C28" s="101">
        <v>0.25594161900000001</v>
      </c>
    </row>
    <row r="29" spans="1:8" ht="15.75" customHeight="1" x14ac:dyDescent="0.25">
      <c r="B29" s="19" t="s">
        <v>94</v>
      </c>
      <c r="C29" s="101">
        <v>0.146367004</v>
      </c>
    </row>
    <row r="30" spans="1:8" ht="15.75" customHeight="1" x14ac:dyDescent="0.25">
      <c r="B30" s="19" t="s">
        <v>95</v>
      </c>
      <c r="C30" s="101">
        <v>1.7554395E-2</v>
      </c>
    </row>
    <row r="31" spans="1:8" ht="15.75" customHeight="1" x14ac:dyDescent="0.25">
      <c r="B31" s="19" t="s">
        <v>96</v>
      </c>
      <c r="C31" s="101">
        <v>1.8078031000000001E-2</v>
      </c>
    </row>
    <row r="32" spans="1:8" ht="15.75" customHeight="1" x14ac:dyDescent="0.25">
      <c r="B32" s="19" t="s">
        <v>97</v>
      </c>
      <c r="C32" s="101">
        <v>1.1440346000000001E-2</v>
      </c>
    </row>
    <row r="33" spans="2:3" ht="15.75" customHeight="1" x14ac:dyDescent="0.25">
      <c r="B33" s="19" t="s">
        <v>98</v>
      </c>
      <c r="C33" s="101">
        <v>0.15128762500000001</v>
      </c>
    </row>
    <row r="34" spans="2:3" ht="15.75" customHeight="1" x14ac:dyDescent="0.25">
      <c r="B34" s="19" t="s">
        <v>99</v>
      </c>
      <c r="C34" s="101">
        <v>0.36629271099999999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0.46203657846226065</v>
      </c>
      <c r="D2" s="52">
        <f>IFERROR(1-_xlfn.NORM.DIST(_xlfn.NORM.INV(SUM(D4:D5), 0, 1) + 1, 0, 1, TRUE), "")</f>
        <v>0.46203657846226065</v>
      </c>
      <c r="E2" s="52">
        <f>IFERROR(1-_xlfn.NORM.DIST(_xlfn.NORM.INV(SUM(E4:E5), 0, 1) + 1, 0, 1, TRUE), "")</f>
        <v>0.45784255536848073</v>
      </c>
      <c r="F2" s="52">
        <f>IFERROR(1-_xlfn.NORM.DIST(_xlfn.NORM.INV(SUM(F4:F5), 0, 1) + 1, 0, 1, TRUE), "")</f>
        <v>0.31468417080314048</v>
      </c>
      <c r="G2" s="52">
        <f>IFERROR(1-_xlfn.NORM.DIST(_xlfn.NORM.INV(SUM(G4:G5), 0, 1) + 1, 0, 1, TRUE), "")</f>
        <v>0.31330372281008789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0.35515012153773934</v>
      </c>
      <c r="D3" s="52">
        <f>IFERROR(_xlfn.NORM.DIST(_xlfn.NORM.INV(SUM(D4:D5), 0, 1) + 1, 0, 1, TRUE) - SUM(D4:D5), "")</f>
        <v>0.35515012153773934</v>
      </c>
      <c r="E3" s="52">
        <f>IFERROR(_xlfn.NORM.DIST(_xlfn.NORM.INV(SUM(E4:E5), 0, 1) + 1, 0, 1, TRUE) - SUM(E4:E5), "")</f>
        <v>0.35653114463151925</v>
      </c>
      <c r="F3" s="52">
        <f>IFERROR(_xlfn.NORM.DIST(_xlfn.NORM.INV(SUM(F4:F5), 0, 1) + 1, 0, 1, TRUE) - SUM(F4:F5), "")</f>
        <v>0.38287172919685952</v>
      </c>
      <c r="G3" s="52">
        <f>IFERROR(_xlfn.NORM.DIST(_xlfn.NORM.INV(SUM(G4:G5), 0, 1) + 1, 0, 1, TRUE) - SUM(G4:G5), "")</f>
        <v>0.38289287718991211</v>
      </c>
    </row>
    <row r="4" spans="1:15" ht="15.75" customHeight="1" x14ac:dyDescent="0.25">
      <c r="B4" s="5" t="s">
        <v>104</v>
      </c>
      <c r="C4" s="45">
        <v>0.1123131</v>
      </c>
      <c r="D4" s="53">
        <v>0.1123131</v>
      </c>
      <c r="E4" s="53">
        <v>0.12641579999999999</v>
      </c>
      <c r="F4" s="53">
        <v>0.20125180000000001</v>
      </c>
      <c r="G4" s="53">
        <v>0.2123389</v>
      </c>
    </row>
    <row r="5" spans="1:15" ht="15.75" customHeight="1" x14ac:dyDescent="0.25">
      <c r="B5" s="5" t="s">
        <v>105</v>
      </c>
      <c r="C5" s="45">
        <v>7.0500199999999999E-2</v>
      </c>
      <c r="D5" s="53">
        <v>7.0500199999999999E-2</v>
      </c>
      <c r="E5" s="53">
        <v>5.9210499999999999E-2</v>
      </c>
      <c r="F5" s="53">
        <v>0.1011923</v>
      </c>
      <c r="G5" s="53">
        <v>9.1464500000000004E-2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0.61893963762334114</v>
      </c>
      <c r="D8" s="52">
        <f>IFERROR(1-_xlfn.NORM.DIST(_xlfn.NORM.INV(SUM(D10:D11), 0, 1) + 1, 0, 1, TRUE), "")</f>
        <v>0.61893963762334114</v>
      </c>
      <c r="E8" s="52">
        <f>IFERROR(1-_xlfn.NORM.DIST(_xlfn.NORM.INV(SUM(E10:E11), 0, 1) + 1, 0, 1, TRUE), "")</f>
        <v>0.60655729143361814</v>
      </c>
      <c r="F8" s="52">
        <f>IFERROR(1-_xlfn.NORM.DIST(_xlfn.NORM.INV(SUM(F10:F11), 0, 1) + 1, 0, 1, TRUE), "")</f>
        <v>0.59334020421454103</v>
      </c>
      <c r="G8" s="52">
        <f>IFERROR(1-_xlfn.NORM.DIST(_xlfn.NORM.INV(SUM(G10:G11), 0, 1) + 1, 0, 1, TRUE), "")</f>
        <v>0.62264277395894074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0.28472126237665879</v>
      </c>
      <c r="D9" s="52">
        <f>IFERROR(_xlfn.NORM.DIST(_xlfn.NORM.INV(SUM(D10:D11), 0, 1) + 1, 0, 1, TRUE) - SUM(D10:D11), "")</f>
        <v>0.28472126237665879</v>
      </c>
      <c r="E9" s="52">
        <f>IFERROR(_xlfn.NORM.DIST(_xlfn.NORM.INV(SUM(E10:E11), 0, 1) + 1, 0, 1, TRUE) - SUM(E10:E11), "")</f>
        <v>0.29146400856638177</v>
      </c>
      <c r="F9" s="52">
        <f>IFERROR(_xlfn.NORM.DIST(_xlfn.NORM.INV(SUM(F10:F11), 0, 1) + 1, 0, 1, TRUE) - SUM(F10:F11), "")</f>
        <v>0.29845759578545894</v>
      </c>
      <c r="G9" s="52">
        <f>IFERROR(_xlfn.NORM.DIST(_xlfn.NORM.INV(SUM(G10:G11), 0, 1) + 1, 0, 1, TRUE) - SUM(G10:G11), "")</f>
        <v>0.28266952604105927</v>
      </c>
    </row>
    <row r="10" spans="1:15" ht="15.75" customHeight="1" x14ac:dyDescent="0.25">
      <c r="B10" s="5" t="s">
        <v>109</v>
      </c>
      <c r="C10" s="45">
        <v>5.6652500000000001E-2</v>
      </c>
      <c r="D10" s="53">
        <v>5.6652500000000001E-2</v>
      </c>
      <c r="E10" s="53">
        <v>7.7906700000000009E-2</v>
      </c>
      <c r="F10" s="53">
        <v>8.434620000000001E-2</v>
      </c>
      <c r="G10" s="53">
        <v>7.5694700000000004E-2</v>
      </c>
    </row>
    <row r="11" spans="1:15" ht="15.75" customHeight="1" x14ac:dyDescent="0.25">
      <c r="B11" s="5" t="s">
        <v>110</v>
      </c>
      <c r="C11" s="45">
        <v>3.9686600000000002E-2</v>
      </c>
      <c r="D11" s="53">
        <v>3.9686600000000002E-2</v>
      </c>
      <c r="E11" s="53">
        <v>2.4072E-2</v>
      </c>
      <c r="F11" s="53">
        <v>2.3855999999999999E-2</v>
      </c>
      <c r="G11" s="53">
        <v>1.8992999999999999E-2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0.80099784150000009</v>
      </c>
      <c r="D14" s="54">
        <v>0.77677478115800003</v>
      </c>
      <c r="E14" s="54">
        <v>0.77677478115800003</v>
      </c>
      <c r="F14" s="54">
        <v>0.52042201054299997</v>
      </c>
      <c r="G14" s="54">
        <v>0.52042201054299997</v>
      </c>
      <c r="H14" s="45">
        <v>0.45700000000000002</v>
      </c>
      <c r="I14" s="55">
        <v>0.45700000000000002</v>
      </c>
      <c r="J14" s="55">
        <v>0.45700000000000002</v>
      </c>
      <c r="K14" s="55">
        <v>0.45700000000000002</v>
      </c>
      <c r="L14" s="45">
        <v>0.39600000000000002</v>
      </c>
      <c r="M14" s="55">
        <v>0.39600000000000002</v>
      </c>
      <c r="N14" s="55">
        <v>0.39600000000000002</v>
      </c>
      <c r="O14" s="55">
        <v>0.39600000000000002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0.39231512580339456</v>
      </c>
      <c r="D15" s="52">
        <f t="shared" si="0"/>
        <v>0.38045108263990873</v>
      </c>
      <c r="E15" s="52">
        <f t="shared" si="0"/>
        <v>0.38045108263990873</v>
      </c>
      <c r="F15" s="52">
        <f t="shared" si="0"/>
        <v>0.25489385358978217</v>
      </c>
      <c r="G15" s="52">
        <f t="shared" si="0"/>
        <v>0.25489385358978217</v>
      </c>
      <c r="H15" s="52">
        <f t="shared" si="0"/>
        <v>0.22383083100000001</v>
      </c>
      <c r="I15" s="52">
        <f t="shared" si="0"/>
        <v>0.22383083100000001</v>
      </c>
      <c r="J15" s="52">
        <f t="shared" si="0"/>
        <v>0.22383083100000001</v>
      </c>
      <c r="K15" s="52">
        <f t="shared" si="0"/>
        <v>0.22383083100000001</v>
      </c>
      <c r="L15" s="52">
        <f t="shared" si="0"/>
        <v>0.19395406800000001</v>
      </c>
      <c r="M15" s="52">
        <f t="shared" si="0"/>
        <v>0.19395406800000001</v>
      </c>
      <c r="N15" s="52">
        <f t="shared" si="0"/>
        <v>0.19395406800000001</v>
      </c>
      <c r="O15" s="52">
        <f t="shared" si="0"/>
        <v>0.19395406800000001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0.84173509999999996</v>
      </c>
      <c r="D2" s="53">
        <v>0.59965789999999997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3.6675199999999998E-2</v>
      </c>
      <c r="D3" s="53">
        <v>0.10847759999999999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0.1179703</v>
      </c>
      <c r="D4" s="53">
        <v>0.26914159999999998</v>
      </c>
      <c r="E4" s="53">
        <v>0.96549989999999997</v>
      </c>
      <c r="F4" s="53">
        <v>0.89594409999999991</v>
      </c>
      <c r="G4" s="53">
        <v>0</v>
      </c>
    </row>
    <row r="5" spans="1:7" x14ac:dyDescent="0.25">
      <c r="B5" s="3" t="s">
        <v>122</v>
      </c>
      <c r="C5" s="52">
        <v>3.6194E-3</v>
      </c>
      <c r="D5" s="52">
        <v>2.2722800000000001E-2</v>
      </c>
      <c r="E5" s="52">
        <f>1-SUM(E2:E4)</f>
        <v>3.4500100000000034E-2</v>
      </c>
      <c r="F5" s="52">
        <f>1-SUM(F2:F4)</f>
        <v>0.10405590000000009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5A25B0-436A-45B9-BD9D-1AAAE776AADD}"/>
</file>

<file path=customXml/itemProps2.xml><?xml version="1.0" encoding="utf-8"?>
<ds:datastoreItem xmlns:ds="http://schemas.openxmlformats.org/officeDocument/2006/customXml" ds:itemID="{520D7214-EB4C-491C-8000-83FE1B8703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2024-03-26T04:24:10Z</dcterms:modified>
</cp:coreProperties>
</file>