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2.xml" ContentType="application/vnd.openxmlformats-officedocument.spreadsheetml.comments+xml"/>
  <Override PartName="/xl/comments8.xml" ContentType="application/vnd.openxmlformats-officedocument.spreadsheetml.comments+xml"/>
  <Override PartName="/xl/comments13.xml" ContentType="application/vnd.openxmlformats-officedocument.spreadsheetml.comments+xml"/>
  <Override PartName="/xl/comments10.xml" ContentType="application/vnd.openxmlformats-officedocument.spreadsheetml.comments+xml"/>
  <Override PartName="/xl/comments14.xml" ContentType="application/vnd.openxmlformats-officedocument.spreadsheetml.comments+xml"/>
  <Override PartName="/xl/comments7.xml" ContentType="application/vnd.openxmlformats-officedocument.spreadsheetml.comments+xml"/>
  <Override PartName="/xl/comments1.xml" ContentType="application/vnd.openxmlformats-officedocument.spreadsheetml.comments+xml"/>
  <Override PartName="/xl/comments15.xml" ContentType="application/vnd.openxmlformats-officedocument.spreadsheetml.comments+xml"/>
  <Override PartName="/xl/comments11.xml" ContentType="application/vnd.openxmlformats-officedocument.spreadsheetml.comments+xml"/>
  <Override PartName="/xl/comments16.xml" ContentType="application/vnd.openxmlformats-officedocument.spreadsheetml.comments+xml"/>
  <Override PartName="/xl/comments9.xml" ContentType="application/vnd.openxmlformats-officedocument.spreadsheetml.comments+xml"/>
  <Override PartName="/xl/comments17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1C0325BE-58A7-4AA2-BFFF-62B596485426}" xr6:coauthVersionLast="47" xr6:coauthVersionMax="47" xr10:uidLastSave="{00000000-0000-0000-0000-000000000000}"/>
  <bookViews>
    <workbookView xWindow="0" yWindow="3670" windowWidth="19200" windowHeight="6530" tabRatio="961" firstSheet="8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F152" i="27"/>
  <c r="E152" i="27"/>
  <c r="D152" i="27"/>
  <c r="H136" i="27"/>
  <c r="G136" i="27"/>
  <c r="F136" i="27"/>
  <c r="E136" i="27"/>
  <c r="H135" i="27"/>
  <c r="G135" i="27"/>
  <c r="F135" i="27"/>
  <c r="E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E130" i="27"/>
  <c r="D130" i="27"/>
  <c r="H129" i="27"/>
  <c r="G129" i="27"/>
  <c r="F129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E112" i="27"/>
  <c r="D112" i="27"/>
  <c r="H97" i="27"/>
  <c r="H152" i="27" s="1"/>
  <c r="G97" i="27"/>
  <c r="G152" i="27" s="1"/>
  <c r="F97" i="27"/>
  <c r="E97" i="27"/>
  <c r="D97" i="27"/>
  <c r="H81" i="27"/>
  <c r="G81" i="27"/>
  <c r="F81" i="27"/>
  <c r="E81" i="27"/>
  <c r="H80" i="27"/>
  <c r="G80" i="27"/>
  <c r="F80" i="27"/>
  <c r="E80" i="27"/>
  <c r="D80" i="27"/>
  <c r="D135" i="27" s="1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D131" i="27" s="1"/>
  <c r="E75" i="27"/>
  <c r="D75" i="27"/>
  <c r="H74" i="27"/>
  <c r="G74" i="27"/>
  <c r="F74" i="27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H112" i="27" s="1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D115" i="20"/>
  <c r="H114" i="20"/>
  <c r="G114" i="20"/>
  <c r="F114" i="20"/>
  <c r="D114" i="20"/>
  <c r="H113" i="20"/>
  <c r="G113" i="20"/>
  <c r="F113" i="20"/>
  <c r="E113" i="20"/>
  <c r="D113" i="20"/>
  <c r="H112" i="20"/>
  <c r="G112" i="20"/>
  <c r="F112" i="20"/>
  <c r="E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D62" i="20"/>
  <c r="H61" i="20"/>
  <c r="G61" i="20"/>
  <c r="F61" i="20"/>
  <c r="D61" i="20"/>
  <c r="H60" i="20"/>
  <c r="G60" i="20"/>
  <c r="F60" i="20"/>
  <c r="E60" i="20"/>
  <c r="D60" i="20"/>
  <c r="H59" i="20"/>
  <c r="G59" i="20"/>
  <c r="F59" i="20"/>
  <c r="E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I40" i="2"/>
  <c r="H40" i="2"/>
  <c r="G40" i="2"/>
  <c r="I39" i="2"/>
  <c r="H39" i="2"/>
  <c r="G39" i="2"/>
  <c r="A39" i="2"/>
  <c r="I38" i="2"/>
  <c r="H38" i="2"/>
  <c r="G38" i="2"/>
  <c r="A37" i="2"/>
  <c r="A36" i="2"/>
  <c r="A35" i="2"/>
  <c r="A34" i="2"/>
  <c r="A33" i="2"/>
  <c r="A29" i="2"/>
  <c r="A28" i="2"/>
  <c r="A27" i="2"/>
  <c r="A26" i="2"/>
  <c r="A25" i="2"/>
  <c r="A21" i="2"/>
  <c r="A20" i="2"/>
  <c r="A19" i="2"/>
  <c r="A18" i="2"/>
  <c r="A17" i="2"/>
  <c r="I13" i="2"/>
  <c r="H13" i="2"/>
  <c r="G13" i="2"/>
  <c r="I12" i="2"/>
  <c r="H12" i="2"/>
  <c r="G12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7" i="2"/>
  <c r="I6" i="2"/>
  <c r="H6" i="2"/>
  <c r="G6" i="2"/>
  <c r="I5" i="2"/>
  <c r="H5" i="2"/>
  <c r="G5" i="2"/>
  <c r="I4" i="2"/>
  <c r="H4" i="2"/>
  <c r="G4" i="2"/>
  <c r="I3" i="2"/>
  <c r="H3" i="2"/>
  <c r="G3" i="2"/>
  <c r="A3" i="2"/>
  <c r="I2" i="2"/>
  <c r="H2" i="2"/>
  <c r="G2" i="2"/>
  <c r="A2" i="2"/>
  <c r="A32" i="2" s="1"/>
  <c r="C33" i="1"/>
  <c r="C20" i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22" i="2"/>
  <c r="A30" i="2"/>
  <c r="A40" i="2"/>
  <c r="A15" i="2"/>
  <c r="A23" i="2"/>
  <c r="A31" i="2"/>
  <c r="A14" i="2"/>
  <c r="A38" i="2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<sst xmlns="http://schemas.openxmlformats.org/spreadsheetml/2006/main" count="2092" uniqueCount="341">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</sst>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7" sqref="C7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2024</v>
      </c>
    </row>
    <row r="4" spans="1:3" ht="15.9" customHeight="1" x14ac:dyDescent="0.3">
      <c r="A4" s="1"/>
      <c r="B4" s="5" t="s">
        <v>5</v>
      </c>
      <c r="C4" s="42">
        <v>2035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437363.9921875</v>
      </c>
    </row>
    <row r="8" spans="1:3" ht="15" customHeight="1" x14ac:dyDescent="0.25">
      <c r="B8" s="5" t="s">
        <v>8</v>
      </c>
      <c r="C8" s="44">
        <v>0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0.96395172119140593</v>
      </c>
    </row>
    <row r="11" spans="1:3" ht="15" customHeight="1" x14ac:dyDescent="0.25">
      <c r="B11" s="5" t="s">
        <v>11</v>
      </c>
      <c r="C11" s="45">
        <v>0.997</v>
      </c>
    </row>
    <row r="12" spans="1:3" ht="15" customHeight="1" x14ac:dyDescent="0.25">
      <c r="B12" s="5" t="s">
        <v>12</v>
      </c>
      <c r="C12" s="45">
        <v>0.93400000000000005</v>
      </c>
    </row>
    <row r="13" spans="1:3" ht="15" customHeight="1" x14ac:dyDescent="0.25">
      <c r="B13" s="5" t="s">
        <v>13</v>
      </c>
      <c r="C13" s="45">
        <v>0.25800000000000001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5.7299999999999997E-2</v>
      </c>
    </row>
    <row r="24" spans="1:3" ht="15" customHeight="1" x14ac:dyDescent="0.25">
      <c r="B24" s="15" t="s">
        <v>22</v>
      </c>
      <c r="C24" s="45">
        <v>0.57350000000000001</v>
      </c>
    </row>
    <row r="25" spans="1:3" ht="15" customHeight="1" x14ac:dyDescent="0.25">
      <c r="B25" s="15" t="s">
        <v>23</v>
      </c>
      <c r="C25" s="45">
        <v>0.35089999999999999</v>
      </c>
    </row>
    <row r="26" spans="1:3" ht="15" customHeight="1" x14ac:dyDescent="0.25">
      <c r="B26" s="15" t="s">
        <v>24</v>
      </c>
      <c r="C26" s="45">
        <v>1.83E-2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0.57290349526853401</v>
      </c>
    </row>
    <row r="30" spans="1:3" ht="14.25" customHeight="1" x14ac:dyDescent="0.25">
      <c r="B30" s="25" t="s">
        <v>27</v>
      </c>
      <c r="C30" s="99">
        <v>2.97816918362898E-2</v>
      </c>
    </row>
    <row r="31" spans="1:3" ht="14.25" customHeight="1" x14ac:dyDescent="0.25">
      <c r="B31" s="25" t="s">
        <v>28</v>
      </c>
      <c r="C31" s="99">
        <v>2.5306962187057899E-2</v>
      </c>
    </row>
    <row r="32" spans="1:3" ht="14.25" customHeight="1" x14ac:dyDescent="0.25">
      <c r="B32" s="25" t="s">
        <v>29</v>
      </c>
      <c r="C32" s="99">
        <v>0.37200785070811798</v>
      </c>
    </row>
    <row r="33" spans="1:5" ht="13" customHeight="1" x14ac:dyDescent="0.25">
      <c r="B33" s="27" t="s">
        <v>30</v>
      </c>
      <c r="C33" s="48">
        <f>SUM(C29:C32)</f>
        <v>0.99999999999999956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0.87329999999999997</v>
      </c>
    </row>
    <row r="38" spans="1:5" ht="15" customHeight="1" x14ac:dyDescent="0.25">
      <c r="B38" s="11" t="s">
        <v>34</v>
      </c>
      <c r="C38" s="43">
        <v>2.0504600000000002</v>
      </c>
      <c r="D38" s="12"/>
      <c r="E38" s="13"/>
    </row>
    <row r="39" spans="1:5" ht="15" customHeight="1" x14ac:dyDescent="0.25">
      <c r="B39" s="11" t="s">
        <v>35</v>
      </c>
      <c r="C39" s="43">
        <v>2.7249400000000001</v>
      </c>
      <c r="D39" s="12"/>
      <c r="E39" s="12"/>
    </row>
    <row r="40" spans="1:5" ht="15" customHeight="1" x14ac:dyDescent="0.25">
      <c r="B40" s="11" t="s">
        <v>36</v>
      </c>
      <c r="C40" s="100">
        <v>0.01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2.18526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6.2438000000000007E-3</v>
      </c>
      <c r="D45" s="12"/>
    </row>
    <row r="46" spans="1:5" ht="15.75" customHeight="1" x14ac:dyDescent="0.25">
      <c r="B46" s="11" t="s">
        <v>41</v>
      </c>
      <c r="C46" s="45">
        <v>6.7088499999999995E-2</v>
      </c>
      <c r="D46" s="12"/>
    </row>
    <row r="47" spans="1:5" ht="15.75" customHeight="1" x14ac:dyDescent="0.25">
      <c r="B47" s="11" t="s">
        <v>42</v>
      </c>
      <c r="C47" s="45">
        <v>7.5063599999999994E-2</v>
      </c>
      <c r="D47" s="12"/>
      <c r="E47" s="13"/>
    </row>
    <row r="48" spans="1:5" ht="15" customHeight="1" x14ac:dyDescent="0.25">
      <c r="B48" s="11" t="s">
        <v>43</v>
      </c>
      <c r="C48" s="46">
        <v>0.85160409999999997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2.8</v>
      </c>
      <c r="D51" s="12"/>
    </row>
    <row r="52" spans="1:4" ht="15" customHeight="1" x14ac:dyDescent="0.25">
      <c r="B52" s="11" t="s">
        <v>46</v>
      </c>
      <c r="C52" s="100">
        <v>2.8</v>
      </c>
    </row>
    <row r="53" spans="1:4" ht="15.75" customHeight="1" x14ac:dyDescent="0.25">
      <c r="B53" s="11" t="s">
        <v>47</v>
      </c>
      <c r="C53" s="100">
        <v>2.8</v>
      </c>
    </row>
    <row r="54" spans="1:4" ht="15.75" customHeight="1" x14ac:dyDescent="0.25">
      <c r="B54" s="11" t="s">
        <v>48</v>
      </c>
      <c r="C54" s="100">
        <v>2.8</v>
      </c>
    </row>
    <row r="55" spans="1:4" ht="15.75" customHeight="1" x14ac:dyDescent="0.25">
      <c r="B55" s="11" t="s">
        <v>49</v>
      </c>
      <c r="C55" s="100">
        <v>2.8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1.6428571428571431E-2</v>
      </c>
    </row>
    <row r="59" spans="1:4" ht="15.75" customHeight="1" x14ac:dyDescent="0.25">
      <c r="B59" s="11" t="s">
        <v>52</v>
      </c>
      <c r="C59" s="45">
        <v>0.64647999999999994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5.0638231999999901E-2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1" sqref="B11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2024</v>
      </c>
      <c r="B2" s="49">
        <v>99420.695200000016</v>
      </c>
      <c r="C2" s="49">
        <v>242000</v>
      </c>
      <c r="D2" s="49">
        <v>450000</v>
      </c>
      <c r="E2" s="49">
        <v>696000</v>
      </c>
      <c r="F2" s="49">
        <v>697000</v>
      </c>
      <c r="G2" s="17">
        <f t="shared" ref="G2:G13" si="0">C2+D2+E2+F2</f>
        <v>2085000</v>
      </c>
      <c r="H2" s="17">
        <f t="shared" ref="H2:H13" si="1">(B2 + stillbirth*B2/(1000-stillbirth))/(1-abortion)</f>
        <v>113225.48986124693</v>
      </c>
      <c r="I2" s="17">
        <f t="shared" ref="I2:I13" si="2">G2-H2</f>
        <v>1971774.5101387531</v>
      </c>
    </row>
    <row r="3" spans="1:9" ht="15.75" customHeight="1" x14ac:dyDescent="0.25">
      <c r="A3" s="5">
        <f t="shared" ref="A3:A40" si="3">IF($A$2+ROW(A3)-2&lt;=end_year,A2+1,"")</f>
        <v>2025</v>
      </c>
      <c r="B3" s="49">
        <v>97359.074999999997</v>
      </c>
      <c r="C3" s="50">
        <v>250000</v>
      </c>
      <c r="D3" s="50">
        <v>443000</v>
      </c>
      <c r="E3" s="50">
        <v>673000</v>
      </c>
      <c r="F3" s="50">
        <v>706000</v>
      </c>
      <c r="G3" s="17">
        <f t="shared" si="0"/>
        <v>2072000</v>
      </c>
      <c r="H3" s="17">
        <f t="shared" si="1"/>
        <v>110877.60890363276</v>
      </c>
      <c r="I3" s="17">
        <f t="shared" si="2"/>
        <v>1961122.3910963673</v>
      </c>
    </row>
    <row r="4" spans="1:9" ht="15.75" customHeight="1" x14ac:dyDescent="0.25">
      <c r="A4" s="5">
        <f t="shared" si="3"/>
        <v>2026</v>
      </c>
      <c r="B4" s="49">
        <v>95737.640000000014</v>
      </c>
      <c r="C4" s="50">
        <v>257000</v>
      </c>
      <c r="D4" s="50">
        <v>441000</v>
      </c>
      <c r="E4" s="50">
        <v>645000</v>
      </c>
      <c r="F4" s="50">
        <v>714000</v>
      </c>
      <c r="G4" s="17">
        <f t="shared" si="0"/>
        <v>2057000</v>
      </c>
      <c r="H4" s="17">
        <f t="shared" si="1"/>
        <v>109031.03388437892</v>
      </c>
      <c r="I4" s="17">
        <f t="shared" si="2"/>
        <v>1947968.9661156212</v>
      </c>
    </row>
    <row r="5" spans="1:9" ht="15.75" customHeight="1" x14ac:dyDescent="0.25">
      <c r="A5" s="5">
        <f t="shared" si="3"/>
        <v>2027</v>
      </c>
      <c r="B5" s="49">
        <v>94103.47500000002</v>
      </c>
      <c r="C5" s="50">
        <v>265000</v>
      </c>
      <c r="D5" s="50">
        <v>443000</v>
      </c>
      <c r="E5" s="50">
        <v>615000</v>
      </c>
      <c r="F5" s="50">
        <v>724000</v>
      </c>
      <c r="G5" s="17">
        <f t="shared" si="0"/>
        <v>2047000</v>
      </c>
      <c r="H5" s="17">
        <f t="shared" si="1"/>
        <v>107169.96127503044</v>
      </c>
      <c r="I5" s="17">
        <f t="shared" si="2"/>
        <v>1939830.0387249696</v>
      </c>
    </row>
    <row r="6" spans="1:9" ht="15.75" customHeight="1" x14ac:dyDescent="0.25">
      <c r="A6" s="5">
        <f t="shared" si="3"/>
        <v>2028</v>
      </c>
      <c r="B6" s="49">
        <v>92457.450000000012</v>
      </c>
      <c r="C6" s="50">
        <v>272000</v>
      </c>
      <c r="D6" s="50">
        <v>449000</v>
      </c>
      <c r="E6" s="50">
        <v>582000</v>
      </c>
      <c r="F6" s="50">
        <v>732000</v>
      </c>
      <c r="G6" s="17">
        <f t="shared" si="0"/>
        <v>2035000</v>
      </c>
      <c r="H6" s="17">
        <f t="shared" si="1"/>
        <v>105295.38187710989</v>
      </c>
      <c r="I6" s="17">
        <f t="shared" si="2"/>
        <v>1929704.6181228901</v>
      </c>
    </row>
    <row r="7" spans="1:9" ht="15.75" customHeight="1" x14ac:dyDescent="0.25">
      <c r="A7" s="5">
        <f t="shared" si="3"/>
        <v>2029</v>
      </c>
      <c r="B7" s="49">
        <v>90800.435000000012</v>
      </c>
      <c r="C7" s="50">
        <v>277000</v>
      </c>
      <c r="D7" s="50">
        <v>458000</v>
      </c>
      <c r="E7" s="50">
        <v>551000</v>
      </c>
      <c r="F7" s="50">
        <v>737000</v>
      </c>
      <c r="G7" s="17">
        <f t="shared" si="0"/>
        <v>2023000</v>
      </c>
      <c r="H7" s="17">
        <f t="shared" si="1"/>
        <v>103408.28649213983</v>
      </c>
      <c r="I7" s="17">
        <f t="shared" si="2"/>
        <v>1919591.7135078602</v>
      </c>
    </row>
    <row r="8" spans="1:9" ht="15.75" customHeight="1" x14ac:dyDescent="0.25">
      <c r="A8" s="5">
        <f t="shared" si="3"/>
        <v>2030</v>
      </c>
      <c r="B8" s="49">
        <v>89143</v>
      </c>
      <c r="C8" s="50">
        <v>280000</v>
      </c>
      <c r="D8" s="50">
        <v>468000</v>
      </c>
      <c r="E8" s="50">
        <v>524000</v>
      </c>
      <c r="F8" s="50">
        <v>736000</v>
      </c>
      <c r="G8" s="17">
        <f t="shared" si="0"/>
        <v>2008000</v>
      </c>
      <c r="H8" s="17">
        <f t="shared" si="1"/>
        <v>101520.71278919335</v>
      </c>
      <c r="I8" s="17">
        <f t="shared" si="2"/>
        <v>1906479.2872108067</v>
      </c>
    </row>
    <row r="9" spans="1:9" ht="15.75" customHeight="1" x14ac:dyDescent="0.25">
      <c r="A9" s="5">
        <f t="shared" si="3"/>
        <v>2031</v>
      </c>
      <c r="B9" s="49">
        <v>87674.757828571426</v>
      </c>
      <c r="C9" s="50">
        <v>285428.57142857142</v>
      </c>
      <c r="D9" s="50">
        <v>470571.42857142858</v>
      </c>
      <c r="E9" s="50">
        <v>499428.57142857142</v>
      </c>
      <c r="F9" s="50">
        <v>741571.42857142852</v>
      </c>
      <c r="G9" s="17">
        <f t="shared" si="0"/>
        <v>1997000</v>
      </c>
      <c r="H9" s="17">
        <f t="shared" si="1"/>
        <v>99848.601778899974</v>
      </c>
      <c r="I9" s="17">
        <f t="shared" si="2"/>
        <v>1897151.3982211</v>
      </c>
    </row>
    <row r="10" spans="1:9" ht="15.75" customHeight="1" x14ac:dyDescent="0.25">
      <c r="A10" s="5">
        <f t="shared" si="3"/>
        <v>2032</v>
      </c>
      <c r="B10" s="49">
        <v>86291.283946938769</v>
      </c>
      <c r="C10" s="50">
        <v>290489.79591836728</v>
      </c>
      <c r="D10" s="50">
        <v>474510.20408163272</v>
      </c>
      <c r="E10" s="50">
        <v>474632.6530612245</v>
      </c>
      <c r="F10" s="50">
        <v>746653.06122448971</v>
      </c>
      <c r="G10" s="17">
        <f t="shared" si="0"/>
        <v>1986285.7142857143</v>
      </c>
      <c r="H10" s="17">
        <f t="shared" si="1"/>
        <v>98273.02933250957</v>
      </c>
      <c r="I10" s="17">
        <f t="shared" si="2"/>
        <v>1888012.6849532048</v>
      </c>
    </row>
    <row r="11" spans="1:9" ht="15.75" customHeight="1" x14ac:dyDescent="0.25">
      <c r="A11" s="5">
        <f t="shared" si="3"/>
        <v>2033</v>
      </c>
      <c r="B11" s="49">
        <v>84941.804510787159</v>
      </c>
      <c r="C11" s="50">
        <v>295274.05247813411</v>
      </c>
      <c r="D11" s="50">
        <v>479297.37609329447</v>
      </c>
      <c r="E11" s="50">
        <v>450294.46064139938</v>
      </c>
      <c r="F11" s="50">
        <v>751317.78425655968</v>
      </c>
      <c r="G11" s="17">
        <f t="shared" si="0"/>
        <v>1976183.6734693879</v>
      </c>
      <c r="H11" s="17">
        <f t="shared" si="1"/>
        <v>96736.171539385381</v>
      </c>
      <c r="I11" s="17">
        <f t="shared" si="2"/>
        <v>1879447.5019300026</v>
      </c>
    </row>
    <row r="12" spans="1:9" ht="15.75" customHeight="1" x14ac:dyDescent="0.25">
      <c r="A12" s="5">
        <f t="shared" si="3"/>
        <v>2034</v>
      </c>
      <c r="B12" s="49">
        <v>83632.994440899609</v>
      </c>
      <c r="C12" s="50">
        <v>299598.91711786762</v>
      </c>
      <c r="D12" s="50">
        <v>484482.71553519368</v>
      </c>
      <c r="E12" s="50">
        <v>426765.09787588508</v>
      </c>
      <c r="F12" s="50">
        <v>755220.32486463967</v>
      </c>
      <c r="G12" s="17">
        <f t="shared" si="0"/>
        <v>1966067.0553935862</v>
      </c>
      <c r="H12" s="17">
        <f t="shared" si="1"/>
        <v>95245.630148578959</v>
      </c>
      <c r="I12" s="17">
        <f t="shared" si="2"/>
        <v>1870821.4252450073</v>
      </c>
    </row>
    <row r="13" spans="1:9" ht="15.75" customHeight="1" x14ac:dyDescent="0.25">
      <c r="A13" s="5">
        <f t="shared" si="3"/>
        <v>2035</v>
      </c>
      <c r="B13" s="49">
        <v>82372.357932456696</v>
      </c>
      <c r="C13" s="50">
        <v>303541.61956327723</v>
      </c>
      <c r="D13" s="50">
        <v>489551.67489736422</v>
      </c>
      <c r="E13" s="50">
        <v>404588.68328672578</v>
      </c>
      <c r="F13" s="50">
        <v>758537.5141310168</v>
      </c>
      <c r="G13" s="17">
        <f t="shared" si="0"/>
        <v>1956219.491878384</v>
      </c>
      <c r="H13" s="17">
        <f t="shared" si="1"/>
        <v>93809.951330217387</v>
      </c>
      <c r="I13" s="17">
        <f t="shared" si="2"/>
        <v>1862409.5405481667</v>
      </c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wKxEoWv7nnHIidhOP9O7yQQ4/tikEcXr6gTA2GrtyLYFAb1ix6Ln3irIlHONZ8I1dXNIh1a5t0Hcu3pPb5ZHrw==" saltValue="PZemEz5qyqkMYDJdSEC/K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(2024)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0</v>
      </c>
    </row>
    <row r="4" spans="1:8" ht="15.75" customHeight="1" x14ac:dyDescent="0.25">
      <c r="B4" s="19" t="s">
        <v>69</v>
      </c>
      <c r="C4" s="101">
        <v>4.5424600000000009E-2</v>
      </c>
    </row>
    <row r="5" spans="1:8" ht="15.75" customHeight="1" x14ac:dyDescent="0.25">
      <c r="B5" s="19" t="s">
        <v>70</v>
      </c>
      <c r="C5" s="101">
        <v>1.7769299999999998E-2</v>
      </c>
    </row>
    <row r="6" spans="1:8" ht="15.75" customHeight="1" x14ac:dyDescent="0.25">
      <c r="B6" s="19" t="s">
        <v>71</v>
      </c>
      <c r="C6" s="101">
        <v>0.14635760000000009</v>
      </c>
    </row>
    <row r="7" spans="1:8" ht="15.75" customHeight="1" x14ac:dyDescent="0.25">
      <c r="B7" s="19" t="s">
        <v>72</v>
      </c>
      <c r="C7" s="101">
        <v>0.369857399999999</v>
      </c>
    </row>
    <row r="8" spans="1:8" ht="15.75" customHeight="1" x14ac:dyDescent="0.25">
      <c r="B8" s="19" t="s">
        <v>73</v>
      </c>
      <c r="C8" s="101">
        <v>0</v>
      </c>
    </row>
    <row r="9" spans="1:8" ht="15.75" customHeight="1" x14ac:dyDescent="0.25">
      <c r="B9" s="19" t="s">
        <v>74</v>
      </c>
      <c r="C9" s="101">
        <v>0.31618180000000068</v>
      </c>
    </row>
    <row r="10" spans="1:8" ht="15.75" customHeight="1" x14ac:dyDescent="0.25">
      <c r="B10" s="19" t="s">
        <v>75</v>
      </c>
      <c r="C10" s="101">
        <v>0.10440930000000009</v>
      </c>
    </row>
    <row r="11" spans="1:8" ht="15.75" customHeight="1" x14ac:dyDescent="0.25">
      <c r="B11" s="27" t="s">
        <v>30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7.7919947146150147E-3</v>
      </c>
      <c r="D14" s="55">
        <v>7.7919947146150147E-3</v>
      </c>
      <c r="E14" s="55">
        <v>7.7919947146150147E-3</v>
      </c>
      <c r="F14" s="55">
        <v>7.7919947146150147E-3</v>
      </c>
    </row>
    <row r="15" spans="1:8" ht="15.75" customHeight="1" x14ac:dyDescent="0.25">
      <c r="B15" s="19" t="s">
        <v>82</v>
      </c>
      <c r="C15" s="101">
        <v>8.4127530830723177E-2</v>
      </c>
      <c r="D15" s="101">
        <v>8.4127530830723177E-2</v>
      </c>
      <c r="E15" s="101">
        <v>8.4127530830723177E-2</v>
      </c>
      <c r="F15" s="101">
        <v>8.4127530830723177E-2</v>
      </c>
    </row>
    <row r="16" spans="1:8" ht="15.75" customHeight="1" x14ac:dyDescent="0.25">
      <c r="B16" s="19" t="s">
        <v>83</v>
      </c>
      <c r="C16" s="101">
        <v>2.473115043862726E-2</v>
      </c>
      <c r="D16" s="101">
        <v>2.473115043862726E-2</v>
      </c>
      <c r="E16" s="101">
        <v>2.473115043862726E-2</v>
      </c>
      <c r="F16" s="101">
        <v>2.473115043862726E-2</v>
      </c>
    </row>
    <row r="17" spans="1:8" ht="15.75" customHeight="1" x14ac:dyDescent="0.25">
      <c r="B17" s="19" t="s">
        <v>84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5.8802966437170853E-2</v>
      </c>
      <c r="D19" s="101">
        <v>5.8802966437170853E-2</v>
      </c>
      <c r="E19" s="101">
        <v>5.8802966437170853E-2</v>
      </c>
      <c r="F19" s="101">
        <v>5.8802966437170853E-2</v>
      </c>
    </row>
    <row r="20" spans="1:8" ht="15.75" customHeight="1" x14ac:dyDescent="0.25">
      <c r="B20" s="19" t="s">
        <v>87</v>
      </c>
      <c r="C20" s="101">
        <v>0.46405541621651591</v>
      </c>
      <c r="D20" s="101">
        <v>0.46405541621651591</v>
      </c>
      <c r="E20" s="101">
        <v>0.46405541621651591</v>
      </c>
      <c r="F20" s="101">
        <v>0.46405541621651591</v>
      </c>
    </row>
    <row r="21" spans="1:8" ht="15.75" customHeight="1" x14ac:dyDescent="0.25">
      <c r="B21" s="19" t="s">
        <v>88</v>
      </c>
      <c r="C21" s="101">
        <v>0.3224494270929934</v>
      </c>
      <c r="D21" s="101">
        <v>0.3224494270929934</v>
      </c>
      <c r="E21" s="101">
        <v>0.3224494270929934</v>
      </c>
      <c r="F21" s="101">
        <v>0.3224494270929934</v>
      </c>
    </row>
    <row r="22" spans="1:8" ht="15.75" customHeight="1" x14ac:dyDescent="0.25">
      <c r="B22" s="19" t="s">
        <v>89</v>
      </c>
      <c r="C22" s="101">
        <v>3.8041514269354551E-2</v>
      </c>
      <c r="D22" s="101">
        <v>3.8041514269354551E-2</v>
      </c>
      <c r="E22" s="101">
        <v>3.8041514269354551E-2</v>
      </c>
      <c r="F22" s="101">
        <v>3.8041514269354551E-2</v>
      </c>
    </row>
    <row r="23" spans="1:8" ht="15.75" customHeight="1" x14ac:dyDescent="0.25">
      <c r="B23" s="27" t="s">
        <v>30</v>
      </c>
      <c r="C23" s="48">
        <f>SUM(C14:C22)</f>
        <v>1.0000000000000002</v>
      </c>
      <c r="D23" s="48">
        <f>SUM(D14:D22)</f>
        <v>1.0000000000000002</v>
      </c>
      <c r="E23" s="48">
        <f>SUM(E14:E22)</f>
        <v>1.0000000000000002</v>
      </c>
      <c r="F23" s="48">
        <f>SUM(F14:F22)</f>
        <v>1.0000000000000002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5.5138011000000001E-2</v>
      </c>
    </row>
    <row r="27" spans="1:8" ht="15.75" customHeight="1" x14ac:dyDescent="0.25">
      <c r="B27" s="19" t="s">
        <v>92</v>
      </c>
      <c r="C27" s="101">
        <v>5.8021491999999987E-2</v>
      </c>
    </row>
    <row r="28" spans="1:8" ht="15.75" customHeight="1" x14ac:dyDescent="0.25">
      <c r="B28" s="19" t="s">
        <v>93</v>
      </c>
      <c r="C28" s="101">
        <v>0.12039119400000001</v>
      </c>
    </row>
    <row r="29" spans="1:8" ht="15.75" customHeight="1" x14ac:dyDescent="0.25">
      <c r="B29" s="19" t="s">
        <v>94</v>
      </c>
      <c r="C29" s="101">
        <v>0.13459314</v>
      </c>
    </row>
    <row r="30" spans="1:8" ht="15.75" customHeight="1" x14ac:dyDescent="0.25">
      <c r="B30" s="19" t="s">
        <v>95</v>
      </c>
      <c r="C30" s="101">
        <v>8.1866218000000004E-2</v>
      </c>
    </row>
    <row r="31" spans="1:8" ht="15.75" customHeight="1" x14ac:dyDescent="0.25">
      <c r="B31" s="19" t="s">
        <v>96</v>
      </c>
      <c r="C31" s="101">
        <v>6.5181787000000005E-2</v>
      </c>
    </row>
    <row r="32" spans="1:8" ht="15.75" customHeight="1" x14ac:dyDescent="0.25">
      <c r="B32" s="19" t="s">
        <v>97</v>
      </c>
      <c r="C32" s="101">
        <v>0.13227402499999999</v>
      </c>
    </row>
    <row r="33" spans="2:3" ht="15.75" customHeight="1" x14ac:dyDescent="0.25">
      <c r="B33" s="19" t="s">
        <v>98</v>
      </c>
      <c r="C33" s="101">
        <v>0.124908043</v>
      </c>
    </row>
    <row r="34" spans="2:3" ht="15.75" customHeight="1" x14ac:dyDescent="0.25">
      <c r="B34" s="19" t="s">
        <v>99</v>
      </c>
      <c r="C34" s="101">
        <v>0.22762609</v>
      </c>
    </row>
    <row r="35" spans="2:3" ht="15.75" customHeight="1" x14ac:dyDescent="0.25">
      <c r="B35" s="27" t="s">
        <v>30</v>
      </c>
      <c r="C35" s="48">
        <f>SUM(C26:C34)</f>
        <v>1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(2024)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0.63739772195389532</v>
      </c>
      <c r="D2" s="52">
        <f>IFERROR(1-_xlfn.NORM.DIST(_xlfn.NORM.INV(SUM(D4:D5), 0, 1) + 1, 0, 1, TRUE), "")</f>
        <v>0.63739772195389532</v>
      </c>
      <c r="E2" s="52">
        <f>IFERROR(1-_xlfn.NORM.DIST(_xlfn.NORM.INV(SUM(E4:E5), 0, 1) + 1, 0, 1, TRUE), "")</f>
        <v>0.70722485562277604</v>
      </c>
      <c r="F2" s="52">
        <f>IFERROR(1-_xlfn.NORM.DIST(_xlfn.NORM.INV(SUM(F4:F5), 0, 1) + 1, 0, 1, TRUE), "")</f>
        <v>0.77522141936932853</v>
      </c>
      <c r="G2" s="52">
        <f>IFERROR(1-_xlfn.NORM.DIST(_xlfn.NORM.INV(SUM(G4:G5), 0, 1) + 1, 0, 1, TRUE), "")</f>
        <v>0.78753144720065926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0.27433647804610461</v>
      </c>
      <c r="D3" s="52">
        <f>IFERROR(_xlfn.NORM.DIST(_xlfn.NORM.INV(SUM(D4:D5), 0, 1) + 1, 0, 1, TRUE) - SUM(D4:D5), "")</f>
        <v>0.27433647804610461</v>
      </c>
      <c r="E3" s="52">
        <f>IFERROR(_xlfn.NORM.DIST(_xlfn.NORM.INV(SUM(E4:E5), 0, 1) + 1, 0, 1, TRUE) - SUM(E4:E5), "")</f>
        <v>0.2316377443772239</v>
      </c>
      <c r="F3" s="52">
        <f>IFERROR(_xlfn.NORM.DIST(_xlfn.NORM.INV(SUM(F4:F5), 0, 1) + 1, 0, 1, TRUE) - SUM(F4:F5), "")</f>
        <v>0.18524748063067148</v>
      </c>
      <c r="G3" s="52">
        <f>IFERROR(_xlfn.NORM.DIST(_xlfn.NORM.INV(SUM(G4:G5), 0, 1) + 1, 0, 1, TRUE) - SUM(G4:G5), "")</f>
        <v>0.1763709527993407</v>
      </c>
    </row>
    <row r="4" spans="1:15" ht="15.75" customHeight="1" x14ac:dyDescent="0.25">
      <c r="B4" s="5" t="s">
        <v>104</v>
      </c>
      <c r="C4" s="45">
        <v>7.97017E-2</v>
      </c>
      <c r="D4" s="53">
        <v>7.97017E-2</v>
      </c>
      <c r="E4" s="53">
        <v>2.3720999999999999E-2</v>
      </c>
      <c r="F4" s="53">
        <v>2.1841300000000001E-2</v>
      </c>
      <c r="G4" s="53">
        <v>2.86316E-2</v>
      </c>
    </row>
    <row r="5" spans="1:15" ht="15.75" customHeight="1" x14ac:dyDescent="0.25">
      <c r="B5" s="5" t="s">
        <v>105</v>
      </c>
      <c r="C5" s="45">
        <v>8.5640999999999998E-3</v>
      </c>
      <c r="D5" s="53">
        <v>8.5640999999999998E-3</v>
      </c>
      <c r="E5" s="53">
        <v>3.7416400000000002E-2</v>
      </c>
      <c r="F5" s="53">
        <v>1.7689799999999999E-2</v>
      </c>
      <c r="G5" s="53">
        <v>7.4660000000000004E-3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0.65625787131242952</v>
      </c>
      <c r="D8" s="52">
        <f>IFERROR(1-_xlfn.NORM.DIST(_xlfn.NORM.INV(SUM(D10:D11), 0, 1) + 1, 0, 1, TRUE), "")</f>
        <v>0.65625787131242952</v>
      </c>
      <c r="E8" s="52">
        <f>IFERROR(1-_xlfn.NORM.DIST(_xlfn.NORM.INV(SUM(E10:E11), 0, 1) + 1, 0, 1, TRUE), "")</f>
        <v>0.86702480875068366</v>
      </c>
      <c r="F8" s="52">
        <f>IFERROR(1-_xlfn.NORM.DIST(_xlfn.NORM.INV(SUM(F10:F11), 0, 1) + 1, 0, 1, TRUE), "")</f>
        <v>0.96277395242881758</v>
      </c>
      <c r="G8" s="52">
        <f>IFERROR(1-_xlfn.NORM.DIST(_xlfn.NORM.INV(SUM(G10:G11), 0, 1) + 1, 0, 1, TRUE), "")</f>
        <v>0.85710552219452829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0.26332502868757046</v>
      </c>
      <c r="D9" s="52">
        <f>IFERROR(_xlfn.NORM.DIST(_xlfn.NORM.INV(SUM(D10:D11), 0, 1) + 1, 0, 1, TRUE) - SUM(D10:D11), "")</f>
        <v>0.26332502868757046</v>
      </c>
      <c r="E9" s="52">
        <f>IFERROR(_xlfn.NORM.DIST(_xlfn.NORM.INV(SUM(E10:E11), 0, 1) + 1, 0, 1, TRUE) - SUM(E10:E11), "")</f>
        <v>0.11565069124931635</v>
      </c>
      <c r="F9" s="52">
        <f>IFERROR(_xlfn.NORM.DIST(_xlfn.NORM.INV(SUM(F10:F11), 0, 1) + 1, 0, 1, TRUE) - SUM(F10:F11), "")</f>
        <v>3.4539947571182464E-2</v>
      </c>
      <c r="G9" s="52">
        <f>IFERROR(_xlfn.NORM.DIST(_xlfn.NORM.INV(SUM(G10:G11), 0, 1) + 1, 0, 1, TRUE) - SUM(G10:G11), "")</f>
        <v>0.12354647780547173</v>
      </c>
    </row>
    <row r="10" spans="1:15" ht="15.75" customHeight="1" x14ac:dyDescent="0.25">
      <c r="B10" s="5" t="s">
        <v>109</v>
      </c>
      <c r="C10" s="45">
        <v>6.0291400000000002E-2</v>
      </c>
      <c r="D10" s="53">
        <v>6.0291400000000002E-2</v>
      </c>
      <c r="E10" s="53">
        <v>1.05738E-2</v>
      </c>
      <c r="F10" s="53">
        <v>1.4062E-3</v>
      </c>
      <c r="G10" s="53">
        <v>1.35148E-2</v>
      </c>
    </row>
    <row r="11" spans="1:15" ht="15.75" customHeight="1" x14ac:dyDescent="0.25">
      <c r="B11" s="5" t="s">
        <v>110</v>
      </c>
      <c r="C11" s="45">
        <v>2.01257E-2</v>
      </c>
      <c r="D11" s="53">
        <v>2.01257E-2</v>
      </c>
      <c r="E11" s="53">
        <v>6.7506999999999992E-3</v>
      </c>
      <c r="F11" s="53">
        <v>1.2799E-3</v>
      </c>
      <c r="G11" s="53">
        <v>5.8331999999999993E-3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0.24705571949999999</v>
      </c>
      <c r="D14" s="54">
        <v>0.22576595799400001</v>
      </c>
      <c r="E14" s="54">
        <v>0.22576595799400001</v>
      </c>
      <c r="F14" s="54">
        <v>9.01791644541E-2</v>
      </c>
      <c r="G14" s="54">
        <v>9.01791644541E-2</v>
      </c>
      <c r="H14" s="45">
        <v>0.24099999999999999</v>
      </c>
      <c r="I14" s="55">
        <v>0.24099999999999999</v>
      </c>
      <c r="J14" s="55">
        <v>0.24099999999999999</v>
      </c>
      <c r="K14" s="55">
        <v>0.24099999999999999</v>
      </c>
      <c r="L14" s="45">
        <v>0.22600000000000001</v>
      </c>
      <c r="M14" s="55">
        <v>0.22600000000000001</v>
      </c>
      <c r="N14" s="55">
        <v>0.22600000000000001</v>
      </c>
      <c r="O14" s="55">
        <v>0.22600000000000001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0.15971658154235999</v>
      </c>
      <c r="D15" s="52">
        <f t="shared" si="0"/>
        <v>0.14595317652396111</v>
      </c>
      <c r="E15" s="52">
        <f t="shared" si="0"/>
        <v>0.14595317652396111</v>
      </c>
      <c r="F15" s="52">
        <f t="shared" si="0"/>
        <v>5.8299026236286564E-2</v>
      </c>
      <c r="G15" s="52">
        <f t="shared" si="0"/>
        <v>5.8299026236286564E-2</v>
      </c>
      <c r="H15" s="52">
        <f t="shared" si="0"/>
        <v>0.15580167999999997</v>
      </c>
      <c r="I15" s="52">
        <f t="shared" si="0"/>
        <v>0.15580167999999997</v>
      </c>
      <c r="J15" s="52">
        <f t="shared" si="0"/>
        <v>0.15580167999999997</v>
      </c>
      <c r="K15" s="52">
        <f t="shared" si="0"/>
        <v>0.15580167999999997</v>
      </c>
      <c r="L15" s="52">
        <f t="shared" si="0"/>
        <v>0.14610447999999998</v>
      </c>
      <c r="M15" s="52">
        <f t="shared" si="0"/>
        <v>0.14610447999999998</v>
      </c>
      <c r="N15" s="52">
        <f t="shared" si="0"/>
        <v>0.14610447999999998</v>
      </c>
      <c r="O15" s="52">
        <f t="shared" si="0"/>
        <v>0.14610447999999998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(2024)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0.43329620000000002</v>
      </c>
      <c r="D2" s="53">
        <v>0.18631239999999999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0.2510193</v>
      </c>
      <c r="D3" s="53">
        <v>0.18873329999999999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0.1494074</v>
      </c>
      <c r="D4" s="53">
        <v>0.20997060000000001</v>
      </c>
      <c r="E4" s="53">
        <v>0.36932389999999998</v>
      </c>
      <c r="F4" s="53">
        <v>0.1736338</v>
      </c>
      <c r="G4" s="53">
        <v>0</v>
      </c>
    </row>
    <row r="5" spans="1:7" x14ac:dyDescent="0.25">
      <c r="B5" s="3" t="s">
        <v>122</v>
      </c>
      <c r="C5" s="52">
        <v>0.16627720000000001</v>
      </c>
      <c r="D5" s="52">
        <v>0.41498380000000001</v>
      </c>
      <c r="E5" s="52">
        <f>1-SUM(E2:E4)</f>
        <v>0.63067610000000007</v>
      </c>
      <c r="F5" s="52">
        <f>1-SUM(F2:F4)</f>
        <v>0.82636620000000005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(2024)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0.33263535501094998</v>
      </c>
      <c r="C2" s="98">
        <v>0.95</v>
      </c>
      <c r="D2" s="56">
        <v>63.421848665062683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40.000995134003318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498.94277630498448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12.853065365559271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13.13329457779923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13.13329457779923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13.13329457779923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13.13329457779923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13.13329457779923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13.13329457779923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0.53121767900000005</v>
      </c>
      <c r="C16" s="98">
        <v>0.95</v>
      </c>
      <c r="D16" s="56">
        <v>0.84006037769458042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11.47697383223603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11.47697383223603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0.44281280000000001</v>
      </c>
      <c r="C21" s="98">
        <v>0.95</v>
      </c>
      <c r="D21" s="56">
        <v>134.72675449417599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22.72737563050903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0.31885570000000002</v>
      </c>
      <c r="C23" s="98">
        <v>0.95</v>
      </c>
      <c r="D23" s="56">
        <v>4.355034620978258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0.79083989791828002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0.29507654698905</v>
      </c>
      <c r="C27" s="98">
        <v>0.95</v>
      </c>
      <c r="D27" s="56">
        <v>18.696975825051741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0.52661570000000002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125.9554584200983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0.8476197124550896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0.18631239999999999</v>
      </c>
      <c r="C32" s="98">
        <v>0.95</v>
      </c>
      <c r="D32" s="56">
        <v>1.8161937938239601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0.99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7.3998900000000006E-2</v>
      </c>
      <c r="C38" s="98">
        <v>0.95</v>
      </c>
      <c r="D38" s="56">
        <v>2.018253434489619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0.69994709999999993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C13" sqref="C13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2.8</v>
      </c>
      <c r="C2" s="21">
        <f>'Baseline year population inputs'!C52</f>
        <v>2.8</v>
      </c>
      <c r="D2" s="21">
        <f>'Baseline year population inputs'!C53</f>
        <v>2.8</v>
      </c>
      <c r="E2" s="21">
        <f>'Baseline year population inputs'!C54</f>
        <v>2.8</v>
      </c>
      <c r="F2" s="21">
        <f>'Baseline year population inputs'!C55</f>
        <v>2.8</v>
      </c>
    </row>
    <row r="3" spans="1:6" ht="15.75" customHeight="1" x14ac:dyDescent="0.25">
      <c r="A3" s="3" t="s">
        <v>204</v>
      </c>
      <c r="B3" s="21">
        <f>frac_mam_1month * 2.6</f>
        <v>0.15675764</v>
      </c>
      <c r="C3" s="21">
        <f>frac_mam_1_5months * 2.6</f>
        <v>0.15675764</v>
      </c>
      <c r="D3" s="21">
        <f>frac_mam_6_11months * 2.6</f>
        <v>2.749188E-2</v>
      </c>
      <c r="E3" s="21">
        <f>frac_mam_12_23months * 2.6</f>
        <v>3.6561200000000001E-3</v>
      </c>
      <c r="F3" s="21">
        <f>frac_mam_24_59months * 2.6</f>
        <v>3.513848E-2</v>
      </c>
    </row>
    <row r="4" spans="1:6" ht="15.75" customHeight="1" x14ac:dyDescent="0.25">
      <c r="A4" s="3" t="s">
        <v>205</v>
      </c>
      <c r="B4" s="21">
        <f>frac_sam_1month * 2.6</f>
        <v>5.2326820000000003E-2</v>
      </c>
      <c r="C4" s="21">
        <f>frac_sam_1_5months * 2.6</f>
        <v>5.2326820000000003E-2</v>
      </c>
      <c r="D4" s="21">
        <f>frac_sam_6_11months * 2.6</f>
        <v>1.7551819999999999E-2</v>
      </c>
      <c r="E4" s="21">
        <f>frac_sam_12_23months * 2.6</f>
        <v>3.32774E-3</v>
      </c>
      <c r="F4" s="21">
        <f>frac_sam_24_59months * 2.6</f>
        <v>1.5166319999999999E-2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0</v>
      </c>
      <c r="E2" s="60">
        <f>food_insecure</f>
        <v>0</v>
      </c>
      <c r="F2" s="60">
        <f>food_insecure</f>
        <v>0</v>
      </c>
      <c r="G2" s="60">
        <f>food_insecure</f>
        <v>0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</v>
      </c>
      <c r="F5" s="60">
        <f>food_insecure</f>
        <v>0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4.6000000000000006E-2</v>
      </c>
      <c r="D7" s="60">
        <f>diarrhoea_1_5mo*frac_diarrhea_severe</f>
        <v>4.6000000000000006E-2</v>
      </c>
      <c r="E7" s="60">
        <f>diarrhoea_6_11mo*frac_diarrhea_severe</f>
        <v>4.6000000000000006E-2</v>
      </c>
      <c r="F7" s="60">
        <f>diarrhoea_12_23mo*frac_diarrhea_severe</f>
        <v>4.6000000000000006E-2</v>
      </c>
      <c r="G7" s="60">
        <f>diarrhoea_24_59mo*frac_diarrhea_severe</f>
        <v>4.6000000000000006E-2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0</v>
      </c>
      <c r="F8" s="60">
        <f>food_insecure</f>
        <v>0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0</v>
      </c>
      <c r="F9" s="60">
        <f>food_insecure</f>
        <v>0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0.93400000000000005</v>
      </c>
      <c r="E10" s="60">
        <f>IF(ISBLANK(comm_deliv), frac_children_health_facility,1)</f>
        <v>0.93400000000000005</v>
      </c>
      <c r="F10" s="60">
        <f>IF(ISBLANK(comm_deliv), frac_children_health_facility,1)</f>
        <v>0.93400000000000005</v>
      </c>
      <c r="G10" s="60">
        <f>IF(ISBLANK(comm_deliv), frac_children_health_facility,1)</f>
        <v>0.93400000000000005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4.6000000000000006E-2</v>
      </c>
      <c r="D12" s="60">
        <f>diarrhoea_1_5mo*frac_diarrhea_severe</f>
        <v>4.6000000000000006E-2</v>
      </c>
      <c r="E12" s="60">
        <f>diarrhoea_6_11mo*frac_diarrhea_severe</f>
        <v>4.6000000000000006E-2</v>
      </c>
      <c r="F12" s="60">
        <f>diarrhoea_12_23mo*frac_diarrhea_severe</f>
        <v>4.6000000000000006E-2</v>
      </c>
      <c r="G12" s="60">
        <f>diarrhoea_24_59mo*frac_diarrhea_severe</f>
        <v>4.6000000000000006E-2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</v>
      </c>
      <c r="I15" s="60">
        <f>food_insecure</f>
        <v>0</v>
      </c>
      <c r="J15" s="60">
        <f>food_insecure</f>
        <v>0</v>
      </c>
      <c r="K15" s="60">
        <f>food_insecure</f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0.997</v>
      </c>
      <c r="I18" s="60">
        <f>frac_PW_health_facility</f>
        <v>0.997</v>
      </c>
      <c r="J18" s="60">
        <f>frac_PW_health_facility</f>
        <v>0.997</v>
      </c>
      <c r="K18" s="60">
        <f>frac_PW_health_facility</f>
        <v>0.997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0.25800000000000001</v>
      </c>
      <c r="M24" s="60">
        <f>famplan_unmet_need</f>
        <v>0.25800000000000001</v>
      </c>
      <c r="N24" s="60">
        <f>famplan_unmet_need</f>
        <v>0.25800000000000001</v>
      </c>
      <c r="O24" s="60">
        <f>famplan_unmet_need</f>
        <v>0.25800000000000001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1.7663656616211092E-2</v>
      </c>
      <c r="M25" s="60">
        <f>(1-food_insecure)*(0.49)+food_insecure*(0.7)</f>
        <v>0.49</v>
      </c>
      <c r="N25" s="60">
        <f>(1-food_insecure)*(0.49)+food_insecure*(0.7)</f>
        <v>0.49</v>
      </c>
      <c r="O25" s="60">
        <f>(1-food_insecure)*(0.49)+food_insecure*(0.7)</f>
        <v>0.49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7.5701385498047544E-3</v>
      </c>
      <c r="M26" s="60">
        <f>(1-food_insecure)*(0.21)+food_insecure*(0.3)</f>
        <v>0.21</v>
      </c>
      <c r="N26" s="60">
        <f>(1-food_insecure)*(0.21)+food_insecure*(0.3)</f>
        <v>0.21</v>
      </c>
      <c r="O26" s="60">
        <f>(1-food_insecure)*(0.21)+food_insecure*(0.3)</f>
        <v>0.21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1.0814483642578221E-2</v>
      </c>
      <c r="M27" s="60">
        <f>(1-food_insecure)*(0.3)</f>
        <v>0.3</v>
      </c>
      <c r="N27" s="60">
        <f>(1-food_insecure)*(0.3)</f>
        <v>0.3</v>
      </c>
      <c r="O27" s="60">
        <f>(1-food_insecure)*(0.3)</f>
        <v>0.3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0.96395172119140593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A12" sqref="A12:XFD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D14" sqref="D14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IvQDIxW99fzq1Zy0EhkbKUzL+Oo6JppYFJRusT7f1RK58axANCQbQrXBA4I5Zda1hiQSlfJ6FnKfxlkgJRWRpg==" saltValue="tOfPnYqP3Wy6+yrctBxWkQ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" sqref="D5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v>1.56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v>1.56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v>1.56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v>1.56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v>1.37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v>1.37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v>1.37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v>1.37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v>1.77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v>1.77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v>1.77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v>1.77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riIqDHxQDNIc95k8WEEMlpv2yK5yRhEl3GZr9d21PG7QnhNwxgtjaWmZN+9widROwyhXiwQ4XZiTM/cZ2Cl95g==" saltValue="b1Xx0XPjIcbtdUQJGdoNkQ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31" zoomScale="85" zoomScaleNormal="85" workbookViewId="0">
      <selection activeCell="D53" sqref="D5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D53" sqref="D53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D50" sqref="D50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
/ (SUM('Nutritional status distribution'!$E$4:$E$5)/(1-SUM('Nutritional status distribution'!$E$4:$E$5))))</f>
        <v>0.62534034083438605</v>
      </c>
      <c r="F6" s="90">
        <f>IF(ISBLANK('Nutritional status distribution'!$F$4),0.64, (0.64*SUM('Nutritional status distribution'!$F$4:$F$5)/(1-0.64*SUM('Nutritional status distribution'!$F$4:$F$5)))/ (SUM('Nutritional status distribution'!$F$4:$F$5)/(1-SUM('Nutritional status distribution'!$F$4:$F$5))))</f>
        <v>0.63065562271166542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0.87317679595987951</v>
      </c>
      <c r="F7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0.8756750626529306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0.87317679595987951</v>
      </c>
      <c r="F8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0.8756750626529306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distribution'!E$4),0.44, (0.44*SUM('Nutritional status distribution'!E$4:E$5)/(1-0.44*SUM('Nutritional status distribution'!E$4:E$5)))/ (SUM('Nutritional status distribution'!E$4:E$5)/(1-SUM('Nutritional status distribution'!E$4:E$5))))</f>
        <v>0.42451930693742057</v>
      </c>
      <c r="F29" s="90">
        <f>IF(ISBLANK('Nutritional status distribution'!F$4),0.44, (0.44*SUM('Nutritional status distribution'!F$4:F$5)/(1-0.44*SUM('Nutritional status distribution'!F$4:F$5)))/ (SUM('Nutritional status distribution'!F$4:F$5)/(1-SUM('Nutritional status distribution'!F$4:F$5))))</f>
        <v>0.43008711537734501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0.84177769468645525</v>
      </c>
      <c r="F30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0.84478453773366269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0.84177769468645525</v>
      </c>
      <c r="F31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0.84478453773366269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v>1.26</v>
      </c>
      <c r="D35" s="90">
        <v>1.1100000000000001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distribution'!E$4),0.92, (0.92*SUM('Nutritional status distribution'!E$4:E$5)/(1-0.92*SUM('Nutritional status distribution'!E$4:E$5)))/ (SUM('Nutritional status distribution'!E$4:E$5)/(1-SUM('Nutritional status distribution'!E$4:E$5))))</f>
        <v>0.91523211071391619</v>
      </c>
      <c r="F52" s="90">
        <f>IF(ISBLANK('Nutritional status distribution'!F$4),0.92, (0.92*SUM('Nutritional status distribution'!F$4:F$5)/(1-0.92*SUM('Nutritional status distribution'!F$4:F$5)))/ (SUM('Nutritional status distribution'!F$4:F$5)/(1-SUM('Nutritional status distribution'!F$4:F$5))))</f>
        <v>0.91698070341394899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0.90469786233048377</v>
      </c>
      <c r="F53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0.90664158980932941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0.90469786233048377</v>
      </c>
      <c r="F54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0.90664158980932941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v>1.78</v>
      </c>
      <c r="D58" s="90">
        <v>1.74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uxH3qxfpHv3MxEVFpMF959vuuHVMbjUY0YDJlIXIgHOAA25UaRTm/IIjRx7RzEUfWaTP3eP7cZpYIm+m6J8PbA==" saltValue="wm1A0TwV/0DyOIoqtNvf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10" zoomScale="70" zoomScaleNormal="70" workbookViewId="0">
      <selection activeCell="D50" sqref="D50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lEvf/7Nn9p0s2t120JFgJzNA1BIMAO9h8EmTziKGX5ZA7K3Y+rQ77oXfzNqKwsdbYQwCY96ujjsdxuDmqt1luA==" saltValue="pZcegXbvW/wKpwHEQP8p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E35" zoomScale="70" zoomScaleNormal="70" workbookViewId="0">
      <selection activeCell="D50" sqref="D50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0.9</v>
      </c>
      <c r="M10" s="90">
        <v>0.9</v>
      </c>
      <c r="N10" s="90">
        <v>0.9</v>
      </c>
      <c r="O10" s="90">
        <v>0.9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 t="shared" ref="E19:O19" si="0">0.72</f>
        <v>0.72</v>
      </c>
      <c r="F19" s="90">
        <f t="shared" si="0"/>
        <v>0.72</v>
      </c>
      <c r="G19" s="90">
        <f t="shared" si="0"/>
        <v>0.72</v>
      </c>
      <c r="H19" s="90">
        <f t="shared" si="0"/>
        <v>0.72</v>
      </c>
      <c r="I19" s="90">
        <f t="shared" si="0"/>
        <v>0.72</v>
      </c>
      <c r="J19" s="90">
        <f t="shared" si="0"/>
        <v>0.72</v>
      </c>
      <c r="K19" s="90">
        <f t="shared" si="0"/>
        <v>0.72</v>
      </c>
      <c r="L19" s="90">
        <f t="shared" si="0"/>
        <v>0.72</v>
      </c>
      <c r="M19" s="90">
        <f t="shared" si="0"/>
        <v>0.72</v>
      </c>
      <c r="N19" s="90">
        <f t="shared" si="0"/>
        <v>0.72</v>
      </c>
      <c r="O19" s="90">
        <f t="shared" si="0"/>
        <v>0.72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v>0.8</v>
      </c>
      <c r="F21" s="90">
        <v>0.8</v>
      </c>
      <c r="G21" s="90">
        <v>0.8</v>
      </c>
      <c r="H21" s="90">
        <v>0.8</v>
      </c>
      <c r="I21" s="90">
        <v>0.8</v>
      </c>
      <c r="J21" s="90">
        <v>0.8</v>
      </c>
      <c r="K21" s="90">
        <v>0.8</v>
      </c>
      <c r="L21" s="90">
        <v>0.8</v>
      </c>
      <c r="M21" s="90">
        <v>0.8</v>
      </c>
      <c r="N21" s="90">
        <v>0.8</v>
      </c>
      <c r="O21" s="90">
        <v>0.8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v>0.4</v>
      </c>
      <c r="D26" s="90">
        <v>0.4</v>
      </c>
      <c r="E26" s="90">
        <f t="shared" ref="E26:O26" si="1">IF(E3=1,1,E3*0.9)</f>
        <v>1</v>
      </c>
      <c r="F26" s="90">
        <f t="shared" si="1"/>
        <v>1</v>
      </c>
      <c r="G26" s="90">
        <f t="shared" si="1"/>
        <v>1</v>
      </c>
      <c r="H26" s="90">
        <f t="shared" si="1"/>
        <v>1</v>
      </c>
      <c r="I26" s="90">
        <f t="shared" si="1"/>
        <v>1</v>
      </c>
      <c r="J26" s="90">
        <f t="shared" si="1"/>
        <v>1</v>
      </c>
      <c r="K26" s="90">
        <f t="shared" si="1"/>
        <v>1</v>
      </c>
      <c r="L26" s="90">
        <f t="shared" si="1"/>
        <v>1</v>
      </c>
      <c r="M26" s="90">
        <f t="shared" si="1"/>
        <v>1</v>
      </c>
      <c r="N26" s="90">
        <f t="shared" si="1"/>
        <v>1</v>
      </c>
      <c r="O26" s="90">
        <f t="shared" si="1"/>
        <v>1</v>
      </c>
    </row>
    <row r="27" spans="1:15" x14ac:dyDescent="0.25">
      <c r="B27" s="11" t="s">
        <v>175</v>
      </c>
      <c r="C27" s="90">
        <f t="shared" ref="C27:G33" si="2">IF(C4=1,1,C4*0.9)</f>
        <v>1</v>
      </c>
      <c r="D27" s="90">
        <f t="shared" si="2"/>
        <v>1</v>
      </c>
      <c r="E27" s="90">
        <f t="shared" si="2"/>
        <v>1</v>
      </c>
      <c r="F27" s="90">
        <f t="shared" si="2"/>
        <v>1</v>
      </c>
      <c r="G27" s="90">
        <f t="shared" si="2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3">IF(L4=1,1,L4*0.9)</f>
        <v>1</v>
      </c>
      <c r="M27" s="90">
        <f t="shared" si="3"/>
        <v>1</v>
      </c>
      <c r="N27" s="90">
        <f t="shared" si="3"/>
        <v>1</v>
      </c>
      <c r="O27" s="90">
        <f t="shared" si="3"/>
        <v>1</v>
      </c>
    </row>
    <row r="28" spans="1:15" x14ac:dyDescent="0.25">
      <c r="B28" s="11" t="s">
        <v>176</v>
      </c>
      <c r="C28" s="90">
        <f t="shared" si="2"/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3"/>
        <v>1</v>
      </c>
      <c r="M28" s="90">
        <f t="shared" si="3"/>
        <v>1</v>
      </c>
      <c r="N28" s="90">
        <f t="shared" si="3"/>
        <v>1</v>
      </c>
      <c r="O28" s="90">
        <f t="shared" si="3"/>
        <v>1</v>
      </c>
    </row>
    <row r="29" spans="1:15" x14ac:dyDescent="0.25">
      <c r="B29" s="11" t="s">
        <v>177</v>
      </c>
      <c r="C29" s="90">
        <f t="shared" si="2"/>
        <v>1</v>
      </c>
      <c r="D29" s="90">
        <f t="shared" si="2"/>
        <v>1</v>
      </c>
      <c r="E29" s="90">
        <f t="shared" si="2"/>
        <v>1</v>
      </c>
      <c r="F29" s="90">
        <f t="shared" si="2"/>
        <v>1</v>
      </c>
      <c r="G29" s="90">
        <f t="shared" si="2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178</v>
      </c>
      <c r="C30" s="90">
        <f t="shared" si="2"/>
        <v>1</v>
      </c>
      <c r="D30" s="90">
        <f t="shared" si="2"/>
        <v>1</v>
      </c>
      <c r="E30" s="90">
        <f t="shared" si="2"/>
        <v>1</v>
      </c>
      <c r="F30" s="90">
        <f t="shared" si="2"/>
        <v>1</v>
      </c>
      <c r="G30" s="90">
        <f t="shared" si="2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3"/>
        <v>1</v>
      </c>
      <c r="M30" s="90">
        <f t="shared" si="3"/>
        <v>1</v>
      </c>
      <c r="N30" s="90">
        <f t="shared" si="3"/>
        <v>1</v>
      </c>
      <c r="O30" s="90">
        <f t="shared" si="3"/>
        <v>1</v>
      </c>
    </row>
    <row r="31" spans="1:15" x14ac:dyDescent="0.25">
      <c r="B31" s="5" t="s">
        <v>179</v>
      </c>
      <c r="C31" s="90">
        <f t="shared" si="2"/>
        <v>1</v>
      </c>
      <c r="D31" s="90">
        <f t="shared" si="2"/>
        <v>1</v>
      </c>
      <c r="E31" s="90">
        <f t="shared" si="2"/>
        <v>1</v>
      </c>
      <c r="F31" s="90">
        <f t="shared" si="2"/>
        <v>1</v>
      </c>
      <c r="G31" s="90">
        <f t="shared" si="2"/>
        <v>1</v>
      </c>
      <c r="H31" s="90">
        <f t="shared" ref="H31:K34" si="4">IF(H8=1,1,H8*0.9)</f>
        <v>1</v>
      </c>
      <c r="I31" s="90">
        <f t="shared" si="4"/>
        <v>1</v>
      </c>
      <c r="J31" s="90">
        <f t="shared" si="4"/>
        <v>1</v>
      </c>
      <c r="K31" s="90">
        <f t="shared" si="4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180</v>
      </c>
      <c r="C32" s="90">
        <f t="shared" si="2"/>
        <v>1</v>
      </c>
      <c r="D32" s="90">
        <f t="shared" si="2"/>
        <v>1</v>
      </c>
      <c r="E32" s="90">
        <f t="shared" si="2"/>
        <v>1</v>
      </c>
      <c r="F32" s="90">
        <f t="shared" si="2"/>
        <v>1</v>
      </c>
      <c r="G32" s="90">
        <f t="shared" si="2"/>
        <v>1</v>
      </c>
      <c r="H32" s="90">
        <f t="shared" si="4"/>
        <v>1</v>
      </c>
      <c r="I32" s="90">
        <f t="shared" si="4"/>
        <v>1</v>
      </c>
      <c r="J32" s="90">
        <f t="shared" si="4"/>
        <v>1</v>
      </c>
      <c r="K32" s="90">
        <f t="shared" si="4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181</v>
      </c>
      <c r="C33" s="90">
        <f t="shared" si="2"/>
        <v>1</v>
      </c>
      <c r="D33" s="90">
        <f t="shared" si="2"/>
        <v>1</v>
      </c>
      <c r="E33" s="90">
        <f t="shared" si="2"/>
        <v>1</v>
      </c>
      <c r="F33" s="90">
        <f t="shared" si="2"/>
        <v>1</v>
      </c>
      <c r="G33" s="90">
        <f t="shared" si="2"/>
        <v>1</v>
      </c>
      <c r="H33" s="90">
        <f t="shared" si="4"/>
        <v>1</v>
      </c>
      <c r="I33" s="90">
        <f t="shared" si="4"/>
        <v>1</v>
      </c>
      <c r="J33" s="90">
        <f t="shared" si="4"/>
        <v>1</v>
      </c>
      <c r="K33" s="90">
        <f t="shared" si="4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184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4"/>
        <v>1</v>
      </c>
      <c r="I34" s="90">
        <f t="shared" si="4"/>
        <v>1</v>
      </c>
      <c r="J34" s="90">
        <f t="shared" si="4"/>
        <v>1</v>
      </c>
      <c r="K34" s="90">
        <f t="shared" si="4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185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188</v>
      </c>
      <c r="C36" s="90">
        <f t="shared" ref="C36:D38" si="5">IF(C13=1,1,C13*0.9)</f>
        <v>1</v>
      </c>
      <c r="D36" s="90">
        <f t="shared" si="5"/>
        <v>1</v>
      </c>
      <c r="E36" s="90">
        <v>0.62</v>
      </c>
      <c r="F36" s="90">
        <v>0.62</v>
      </c>
      <c r="G36" s="90">
        <v>0.62</v>
      </c>
      <c r="H36" s="90">
        <f t="shared" ref="H36:O36" si="6">IF(H13=1,1,H13*0.9)</f>
        <v>1</v>
      </c>
      <c r="I36" s="90">
        <f t="shared" si="6"/>
        <v>1</v>
      </c>
      <c r="J36" s="90">
        <f t="shared" si="6"/>
        <v>1</v>
      </c>
      <c r="K36" s="90">
        <f t="shared" si="6"/>
        <v>1</v>
      </c>
      <c r="L36" s="90">
        <f t="shared" si="6"/>
        <v>1</v>
      </c>
      <c r="M36" s="90">
        <f t="shared" si="6"/>
        <v>1</v>
      </c>
      <c r="N36" s="90">
        <f t="shared" si="6"/>
        <v>1</v>
      </c>
      <c r="O36" s="90">
        <f t="shared" si="6"/>
        <v>1</v>
      </c>
    </row>
    <row r="37" spans="1:15" x14ac:dyDescent="0.25">
      <c r="B37" s="11" t="s">
        <v>189</v>
      </c>
      <c r="C37" s="90">
        <f t="shared" si="5"/>
        <v>1</v>
      </c>
      <c r="D37" s="90">
        <f t="shared" si="5"/>
        <v>1</v>
      </c>
      <c r="E37" s="90">
        <f t="shared" ref="E37:K37" si="7">IF(E14=1,1,E14*0.9)</f>
        <v>1</v>
      </c>
      <c r="F37" s="90">
        <f t="shared" si="7"/>
        <v>1</v>
      </c>
      <c r="G37" s="90">
        <f t="shared" si="7"/>
        <v>1</v>
      </c>
      <c r="H37" s="90">
        <f t="shared" si="7"/>
        <v>1</v>
      </c>
      <c r="I37" s="90">
        <f t="shared" si="7"/>
        <v>1</v>
      </c>
      <c r="J37" s="90">
        <f t="shared" si="7"/>
        <v>1</v>
      </c>
      <c r="K37" s="90">
        <f t="shared" si="7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192</v>
      </c>
      <c r="C38" s="90">
        <f t="shared" si="5"/>
        <v>1</v>
      </c>
      <c r="D38" s="90">
        <f t="shared" si="5"/>
        <v>1</v>
      </c>
      <c r="E38" s="90">
        <v>0.3</v>
      </c>
      <c r="F38" s="90">
        <v>0.3</v>
      </c>
      <c r="G38" s="90">
        <f t="shared" ref="G38:O38" si="8">IF(G15=1,1,G15*0.9)</f>
        <v>1</v>
      </c>
      <c r="H38" s="90">
        <f t="shared" si="8"/>
        <v>1</v>
      </c>
      <c r="I38" s="90">
        <f t="shared" si="8"/>
        <v>1</v>
      </c>
      <c r="J38" s="90">
        <f t="shared" si="8"/>
        <v>1</v>
      </c>
      <c r="K38" s="90">
        <f t="shared" si="8"/>
        <v>1</v>
      </c>
      <c r="L38" s="90">
        <f t="shared" si="8"/>
        <v>1</v>
      </c>
      <c r="M38" s="90">
        <f t="shared" si="8"/>
        <v>1</v>
      </c>
      <c r="N38" s="90">
        <f t="shared" si="8"/>
        <v>1</v>
      </c>
      <c r="O38" s="90">
        <f t="shared" si="8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9">IF(C18=1,1,C18*0.9)</f>
        <v>1</v>
      </c>
      <c r="D41" s="90">
        <f t="shared" si="9"/>
        <v>1</v>
      </c>
      <c r="E41" s="90">
        <f t="shared" si="9"/>
        <v>1</v>
      </c>
      <c r="F41" s="90">
        <f t="shared" si="9"/>
        <v>1</v>
      </c>
      <c r="G41" s="90">
        <f t="shared" si="9"/>
        <v>1</v>
      </c>
      <c r="H41" s="90">
        <f t="shared" si="9"/>
        <v>1</v>
      </c>
      <c r="I41" s="90">
        <f t="shared" si="9"/>
        <v>1</v>
      </c>
      <c r="J41" s="90">
        <f t="shared" si="9"/>
        <v>1</v>
      </c>
      <c r="K41" s="90">
        <f t="shared" si="9"/>
        <v>1</v>
      </c>
      <c r="L41" s="90">
        <f t="shared" si="9"/>
        <v>1</v>
      </c>
      <c r="M41" s="90">
        <f t="shared" si="9"/>
        <v>1</v>
      </c>
      <c r="N41" s="90">
        <f t="shared" si="9"/>
        <v>1</v>
      </c>
      <c r="O41" s="90">
        <f t="shared" si="9"/>
        <v>1</v>
      </c>
    </row>
    <row r="42" spans="1:15" x14ac:dyDescent="0.25">
      <c r="B42" s="5" t="s">
        <v>173</v>
      </c>
      <c r="C42" s="90">
        <f t="shared" ref="C42:D44" si="10">IF(C19=1,1,C19*0.9)</f>
        <v>1</v>
      </c>
      <c r="D42" s="90">
        <f t="shared" si="10"/>
        <v>1</v>
      </c>
      <c r="E42" s="90">
        <v>0.54</v>
      </c>
      <c r="F42" s="90">
        <v>0.54</v>
      </c>
      <c r="G42" s="90">
        <v>0.54</v>
      </c>
      <c r="H42" s="90">
        <v>0.54</v>
      </c>
      <c r="I42" s="90">
        <v>0.54</v>
      </c>
      <c r="J42" s="90">
        <v>0.54</v>
      </c>
      <c r="K42" s="90">
        <v>0.54</v>
      </c>
      <c r="L42" s="90">
        <v>0.54</v>
      </c>
      <c r="M42" s="90">
        <v>0.54</v>
      </c>
      <c r="N42" s="90">
        <v>0.54</v>
      </c>
      <c r="O42" s="90">
        <v>0.54</v>
      </c>
    </row>
    <row r="43" spans="1:15" x14ac:dyDescent="0.25">
      <c r="B43" s="5" t="s">
        <v>174</v>
      </c>
      <c r="C43" s="90">
        <f t="shared" si="10"/>
        <v>1</v>
      </c>
      <c r="D43" s="90">
        <f t="shared" si="10"/>
        <v>1</v>
      </c>
      <c r="E43" s="90">
        <f t="shared" ref="E43:O43" si="11">IF(E20=1,1,E20*0.9)</f>
        <v>1</v>
      </c>
      <c r="F43" s="90">
        <f t="shared" si="11"/>
        <v>1</v>
      </c>
      <c r="G43" s="90">
        <f t="shared" si="11"/>
        <v>1</v>
      </c>
      <c r="H43" s="90">
        <f t="shared" si="11"/>
        <v>1</v>
      </c>
      <c r="I43" s="90">
        <f t="shared" si="11"/>
        <v>1</v>
      </c>
      <c r="J43" s="90">
        <f t="shared" si="11"/>
        <v>1</v>
      </c>
      <c r="K43" s="90">
        <f t="shared" si="11"/>
        <v>1</v>
      </c>
      <c r="L43" s="90">
        <f t="shared" si="11"/>
        <v>1</v>
      </c>
      <c r="M43" s="90">
        <f t="shared" si="11"/>
        <v>1</v>
      </c>
      <c r="N43" s="90">
        <f t="shared" si="11"/>
        <v>1</v>
      </c>
      <c r="O43" s="90">
        <f t="shared" si="11"/>
        <v>1</v>
      </c>
    </row>
    <row r="44" spans="1:15" x14ac:dyDescent="0.25">
      <c r="B44" s="5" t="s">
        <v>182</v>
      </c>
      <c r="C44" s="90">
        <f t="shared" si="10"/>
        <v>1</v>
      </c>
      <c r="D44" s="90">
        <f t="shared" si="10"/>
        <v>1</v>
      </c>
      <c r="E44" s="90">
        <v>0.7</v>
      </c>
      <c r="F44" s="90">
        <v>0.7</v>
      </c>
      <c r="G44" s="90">
        <v>0.7</v>
      </c>
      <c r="H44" s="90">
        <v>0.7</v>
      </c>
      <c r="I44" s="90">
        <v>0.7</v>
      </c>
      <c r="J44" s="90">
        <v>0.7</v>
      </c>
      <c r="K44" s="90">
        <v>0.7</v>
      </c>
      <c r="L44" s="90">
        <v>0.7</v>
      </c>
      <c r="M44" s="90">
        <v>0.7</v>
      </c>
      <c r="N44" s="90">
        <v>0.7</v>
      </c>
      <c r="O44" s="90">
        <v>0.7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v>0.7</v>
      </c>
      <c r="D49" s="90">
        <v>0.7</v>
      </c>
      <c r="E49" s="90">
        <f t="shared" ref="E49:O49" si="12">IF(E3=1,1,E3*1.05)</f>
        <v>1</v>
      </c>
      <c r="F49" s="90">
        <f t="shared" si="12"/>
        <v>1</v>
      </c>
      <c r="G49" s="90">
        <f t="shared" si="12"/>
        <v>1</v>
      </c>
      <c r="H49" s="90">
        <f t="shared" si="12"/>
        <v>1</v>
      </c>
      <c r="I49" s="90">
        <f t="shared" si="12"/>
        <v>1</v>
      </c>
      <c r="J49" s="90">
        <f t="shared" si="12"/>
        <v>1</v>
      </c>
      <c r="K49" s="90">
        <f t="shared" si="12"/>
        <v>1</v>
      </c>
      <c r="L49" s="90">
        <f t="shared" si="12"/>
        <v>1</v>
      </c>
      <c r="M49" s="90">
        <f t="shared" si="12"/>
        <v>1</v>
      </c>
      <c r="N49" s="90">
        <f t="shared" si="12"/>
        <v>1</v>
      </c>
      <c r="O49" s="90">
        <f t="shared" si="12"/>
        <v>1</v>
      </c>
    </row>
    <row r="50" spans="1:15" x14ac:dyDescent="0.25">
      <c r="B50" s="11" t="s">
        <v>175</v>
      </c>
      <c r="C50" s="90">
        <f t="shared" ref="C50:G56" si="13">IF(C4=1,1,C4*1.05)</f>
        <v>1</v>
      </c>
      <c r="D50" s="90">
        <f t="shared" si="13"/>
        <v>1</v>
      </c>
      <c r="E50" s="90">
        <f t="shared" si="13"/>
        <v>1</v>
      </c>
      <c r="F50" s="90">
        <f t="shared" si="13"/>
        <v>1</v>
      </c>
      <c r="G50" s="90">
        <f t="shared" si="13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4">IF(L4=1,1,L4*1.05)</f>
        <v>1</v>
      </c>
      <c r="M50" s="90">
        <f t="shared" si="14"/>
        <v>1</v>
      </c>
      <c r="N50" s="90">
        <f t="shared" si="14"/>
        <v>1</v>
      </c>
      <c r="O50" s="90">
        <f t="shared" si="14"/>
        <v>1</v>
      </c>
    </row>
    <row r="51" spans="1:15" x14ac:dyDescent="0.25">
      <c r="B51" s="11" t="s">
        <v>176</v>
      </c>
      <c r="C51" s="90">
        <f t="shared" si="13"/>
        <v>1</v>
      </c>
      <c r="D51" s="90">
        <f t="shared" si="13"/>
        <v>1</v>
      </c>
      <c r="E51" s="90">
        <f t="shared" si="13"/>
        <v>1</v>
      </c>
      <c r="F51" s="90">
        <f t="shared" si="13"/>
        <v>1</v>
      </c>
      <c r="G51" s="90">
        <f t="shared" si="13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4"/>
        <v>1</v>
      </c>
      <c r="M51" s="90">
        <f t="shared" si="14"/>
        <v>1</v>
      </c>
      <c r="N51" s="90">
        <f t="shared" si="14"/>
        <v>1</v>
      </c>
      <c r="O51" s="90">
        <f t="shared" si="14"/>
        <v>1</v>
      </c>
    </row>
    <row r="52" spans="1:15" x14ac:dyDescent="0.25">
      <c r="B52" s="11" t="s">
        <v>177</v>
      </c>
      <c r="C52" s="90">
        <f t="shared" si="13"/>
        <v>1</v>
      </c>
      <c r="D52" s="90">
        <f t="shared" si="13"/>
        <v>1</v>
      </c>
      <c r="E52" s="90">
        <f t="shared" si="13"/>
        <v>1</v>
      </c>
      <c r="F52" s="90">
        <f t="shared" si="13"/>
        <v>1</v>
      </c>
      <c r="G52" s="90">
        <f t="shared" si="13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4"/>
        <v>1</v>
      </c>
      <c r="M52" s="90">
        <f t="shared" si="14"/>
        <v>1</v>
      </c>
      <c r="N52" s="90">
        <f t="shared" si="14"/>
        <v>1</v>
      </c>
      <c r="O52" s="90">
        <f t="shared" si="14"/>
        <v>1</v>
      </c>
    </row>
    <row r="53" spans="1:15" x14ac:dyDescent="0.25">
      <c r="B53" s="11" t="s">
        <v>178</v>
      </c>
      <c r="C53" s="90">
        <f t="shared" si="13"/>
        <v>1</v>
      </c>
      <c r="D53" s="90">
        <f t="shared" si="13"/>
        <v>1</v>
      </c>
      <c r="E53" s="90">
        <f t="shared" si="13"/>
        <v>1</v>
      </c>
      <c r="F53" s="90">
        <f t="shared" si="13"/>
        <v>1</v>
      </c>
      <c r="G53" s="90">
        <f t="shared" si="13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4"/>
        <v>1</v>
      </c>
      <c r="M53" s="90">
        <f t="shared" si="14"/>
        <v>1</v>
      </c>
      <c r="N53" s="90">
        <f t="shared" si="14"/>
        <v>1</v>
      </c>
      <c r="O53" s="90">
        <f t="shared" si="14"/>
        <v>1</v>
      </c>
    </row>
    <row r="54" spans="1:15" x14ac:dyDescent="0.25">
      <c r="B54" s="5" t="s">
        <v>179</v>
      </c>
      <c r="C54" s="90">
        <f t="shared" si="13"/>
        <v>1</v>
      </c>
      <c r="D54" s="90">
        <f t="shared" si="13"/>
        <v>1</v>
      </c>
      <c r="E54" s="90">
        <f t="shared" si="13"/>
        <v>1</v>
      </c>
      <c r="F54" s="90">
        <f t="shared" si="13"/>
        <v>1</v>
      </c>
      <c r="G54" s="90">
        <f t="shared" si="13"/>
        <v>1</v>
      </c>
      <c r="H54" s="90">
        <f t="shared" ref="H54:K57" si="15">IF(H8=1,1,H8*1.05)</f>
        <v>1</v>
      </c>
      <c r="I54" s="90">
        <f t="shared" si="15"/>
        <v>1</v>
      </c>
      <c r="J54" s="90">
        <f t="shared" si="15"/>
        <v>1</v>
      </c>
      <c r="K54" s="90">
        <f t="shared" si="15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180</v>
      </c>
      <c r="C55" s="90">
        <f t="shared" si="13"/>
        <v>1</v>
      </c>
      <c r="D55" s="90">
        <f t="shared" si="13"/>
        <v>1</v>
      </c>
      <c r="E55" s="90">
        <f t="shared" si="13"/>
        <v>1</v>
      </c>
      <c r="F55" s="90">
        <f t="shared" si="13"/>
        <v>1</v>
      </c>
      <c r="G55" s="90">
        <f t="shared" si="13"/>
        <v>1</v>
      </c>
      <c r="H55" s="90">
        <f t="shared" si="15"/>
        <v>1</v>
      </c>
      <c r="I55" s="90">
        <f t="shared" si="15"/>
        <v>1</v>
      </c>
      <c r="J55" s="90">
        <f t="shared" si="15"/>
        <v>1</v>
      </c>
      <c r="K55" s="90">
        <f t="shared" si="15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181</v>
      </c>
      <c r="C56" s="90">
        <f t="shared" si="13"/>
        <v>1</v>
      </c>
      <c r="D56" s="90">
        <f t="shared" si="13"/>
        <v>1</v>
      </c>
      <c r="E56" s="90">
        <f t="shared" si="13"/>
        <v>1</v>
      </c>
      <c r="F56" s="90">
        <f t="shared" si="13"/>
        <v>1</v>
      </c>
      <c r="G56" s="90">
        <f t="shared" si="13"/>
        <v>1</v>
      </c>
      <c r="H56" s="90">
        <f t="shared" si="15"/>
        <v>1</v>
      </c>
      <c r="I56" s="90">
        <f t="shared" si="15"/>
        <v>1</v>
      </c>
      <c r="J56" s="90">
        <f t="shared" si="15"/>
        <v>1</v>
      </c>
      <c r="K56" s="90">
        <f t="shared" si="15"/>
        <v>1</v>
      </c>
      <c r="L56" s="90">
        <v>0.95</v>
      </c>
      <c r="M56" s="90">
        <v>0.95</v>
      </c>
      <c r="N56" s="90">
        <v>0.95</v>
      </c>
      <c r="O56" s="90">
        <v>0.95</v>
      </c>
    </row>
    <row r="57" spans="1:15" x14ac:dyDescent="0.25">
      <c r="B57" s="5" t="s">
        <v>184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5"/>
        <v>1</v>
      </c>
      <c r="I57" s="90">
        <f t="shared" si="15"/>
        <v>1</v>
      </c>
      <c r="J57" s="90">
        <f t="shared" si="15"/>
        <v>1</v>
      </c>
      <c r="K57" s="90">
        <f t="shared" si="15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185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188</v>
      </c>
      <c r="C59" s="90">
        <f t="shared" ref="C59:D61" si="16">IF(C13=1,1,C13*1.05)</f>
        <v>1</v>
      </c>
      <c r="D59" s="90">
        <f t="shared" si="16"/>
        <v>1</v>
      </c>
      <c r="E59" s="90">
        <v>0.77</v>
      </c>
      <c r="F59" s="90">
        <v>0.77</v>
      </c>
      <c r="G59" s="90">
        <v>0.77</v>
      </c>
      <c r="H59" s="90">
        <f t="shared" ref="H59:O59" si="17">IF(H13=1,1,H13*1.05)</f>
        <v>1</v>
      </c>
      <c r="I59" s="90">
        <f t="shared" si="17"/>
        <v>1</v>
      </c>
      <c r="J59" s="90">
        <f t="shared" si="17"/>
        <v>1</v>
      </c>
      <c r="K59" s="90">
        <f t="shared" si="17"/>
        <v>1</v>
      </c>
      <c r="L59" s="90">
        <f t="shared" si="17"/>
        <v>1</v>
      </c>
      <c r="M59" s="90">
        <f t="shared" si="17"/>
        <v>1</v>
      </c>
      <c r="N59" s="90">
        <f t="shared" si="17"/>
        <v>1</v>
      </c>
      <c r="O59" s="90">
        <f t="shared" si="17"/>
        <v>1</v>
      </c>
    </row>
    <row r="60" spans="1:15" x14ac:dyDescent="0.25">
      <c r="B60" s="11" t="s">
        <v>189</v>
      </c>
      <c r="C60" s="90">
        <f t="shared" si="16"/>
        <v>1</v>
      </c>
      <c r="D60" s="90">
        <f t="shared" si="16"/>
        <v>1</v>
      </c>
      <c r="E60" s="90">
        <f t="shared" ref="E60:K60" si="18">IF(E14=1,1,E14*1.05)</f>
        <v>1</v>
      </c>
      <c r="F60" s="90">
        <f t="shared" si="18"/>
        <v>1</v>
      </c>
      <c r="G60" s="90">
        <f t="shared" si="18"/>
        <v>1</v>
      </c>
      <c r="H60" s="90">
        <f t="shared" si="18"/>
        <v>1</v>
      </c>
      <c r="I60" s="90">
        <f t="shared" si="18"/>
        <v>1</v>
      </c>
      <c r="J60" s="90">
        <f t="shared" si="18"/>
        <v>1</v>
      </c>
      <c r="K60" s="90">
        <f t="shared" si="18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192</v>
      </c>
      <c r="C61" s="90">
        <f t="shared" si="16"/>
        <v>1</v>
      </c>
      <c r="D61" s="90">
        <f t="shared" si="16"/>
        <v>1</v>
      </c>
      <c r="E61" s="90">
        <v>0.44</v>
      </c>
      <c r="F61" s="90">
        <v>0.44</v>
      </c>
      <c r="G61" s="90">
        <f t="shared" ref="G61:O61" si="19">IF(G15=1,1,G15*1.05)</f>
        <v>1</v>
      </c>
      <c r="H61" s="90">
        <f t="shared" si="19"/>
        <v>1</v>
      </c>
      <c r="I61" s="90">
        <f t="shared" si="19"/>
        <v>1</v>
      </c>
      <c r="J61" s="90">
        <f t="shared" si="19"/>
        <v>1</v>
      </c>
      <c r="K61" s="90">
        <f t="shared" si="19"/>
        <v>1</v>
      </c>
      <c r="L61" s="90">
        <f t="shared" si="19"/>
        <v>1</v>
      </c>
      <c r="M61" s="90">
        <f t="shared" si="19"/>
        <v>1</v>
      </c>
      <c r="N61" s="90">
        <f t="shared" si="19"/>
        <v>1</v>
      </c>
      <c r="O61" s="90">
        <f t="shared" si="19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20">IF(C18=1,1,C18*1.05)</f>
        <v>1</v>
      </c>
      <c r="D64" s="90">
        <f t="shared" si="20"/>
        <v>1</v>
      </c>
      <c r="E64" s="90">
        <f t="shared" si="20"/>
        <v>1</v>
      </c>
      <c r="F64" s="90">
        <f t="shared" si="20"/>
        <v>1</v>
      </c>
      <c r="G64" s="90">
        <f t="shared" si="20"/>
        <v>1</v>
      </c>
      <c r="H64" s="90">
        <f t="shared" si="20"/>
        <v>1</v>
      </c>
      <c r="I64" s="90">
        <f t="shared" si="20"/>
        <v>1</v>
      </c>
      <c r="J64" s="90">
        <f t="shared" si="20"/>
        <v>1</v>
      </c>
      <c r="K64" s="90">
        <f t="shared" si="20"/>
        <v>1</v>
      </c>
      <c r="L64" s="90">
        <f t="shared" si="20"/>
        <v>1</v>
      </c>
      <c r="M64" s="90">
        <f t="shared" si="20"/>
        <v>1</v>
      </c>
      <c r="N64" s="90">
        <f t="shared" si="20"/>
        <v>1</v>
      </c>
      <c r="O64" s="90">
        <f t="shared" si="20"/>
        <v>1</v>
      </c>
    </row>
    <row r="65" spans="2:15" x14ac:dyDescent="0.25">
      <c r="B65" s="5" t="s">
        <v>173</v>
      </c>
      <c r="C65" s="90">
        <f t="shared" ref="C65:D67" si="21">IF(C19=1,1,C19*1.05)</f>
        <v>1</v>
      </c>
      <c r="D65" s="90">
        <f t="shared" si="21"/>
        <v>1</v>
      </c>
      <c r="E65" s="90">
        <v>0.97</v>
      </c>
      <c r="F65" s="90">
        <v>0.97</v>
      </c>
      <c r="G65" s="90">
        <v>0.97</v>
      </c>
      <c r="H65" s="90">
        <v>0.97</v>
      </c>
      <c r="I65" s="90">
        <v>0.97</v>
      </c>
      <c r="J65" s="90">
        <v>0.97</v>
      </c>
      <c r="K65" s="90">
        <v>0.97</v>
      </c>
      <c r="L65" s="90">
        <v>0.97</v>
      </c>
      <c r="M65" s="90">
        <v>0.97</v>
      </c>
      <c r="N65" s="90">
        <v>0.97</v>
      </c>
      <c r="O65" s="90">
        <v>0.97</v>
      </c>
    </row>
    <row r="66" spans="2:15" x14ac:dyDescent="0.25">
      <c r="B66" s="5" t="s">
        <v>174</v>
      </c>
      <c r="C66" s="90">
        <f t="shared" si="21"/>
        <v>1</v>
      </c>
      <c r="D66" s="90">
        <f t="shared" si="21"/>
        <v>1</v>
      </c>
      <c r="E66" s="90">
        <f t="shared" ref="E66:O66" si="22">IF(E20=1,1,E20*1.05)</f>
        <v>1</v>
      </c>
      <c r="F66" s="90">
        <f t="shared" si="22"/>
        <v>1</v>
      </c>
      <c r="G66" s="90">
        <f t="shared" si="22"/>
        <v>1</v>
      </c>
      <c r="H66" s="90">
        <f t="shared" si="22"/>
        <v>1</v>
      </c>
      <c r="I66" s="90">
        <f t="shared" si="22"/>
        <v>1</v>
      </c>
      <c r="J66" s="90">
        <f t="shared" si="22"/>
        <v>1</v>
      </c>
      <c r="K66" s="90">
        <f t="shared" si="22"/>
        <v>1</v>
      </c>
      <c r="L66" s="90">
        <f t="shared" si="22"/>
        <v>1</v>
      </c>
      <c r="M66" s="90">
        <f t="shared" si="22"/>
        <v>1</v>
      </c>
      <c r="N66" s="90">
        <f t="shared" si="22"/>
        <v>1</v>
      </c>
      <c r="O66" s="90">
        <f t="shared" si="22"/>
        <v>1</v>
      </c>
    </row>
    <row r="67" spans="2:15" x14ac:dyDescent="0.25">
      <c r="B67" s="5" t="s">
        <v>182</v>
      </c>
      <c r="C67" s="90">
        <f t="shared" si="21"/>
        <v>1</v>
      </c>
      <c r="D67" s="90">
        <f t="shared" si="21"/>
        <v>1</v>
      </c>
      <c r="E67" s="90">
        <v>0.92</v>
      </c>
      <c r="F67" s="90">
        <v>0.92</v>
      </c>
      <c r="G67" s="90">
        <v>0.92</v>
      </c>
      <c r="H67" s="90">
        <v>0.92</v>
      </c>
      <c r="I67" s="90">
        <v>0.92</v>
      </c>
      <c r="J67" s="90">
        <v>0.92</v>
      </c>
      <c r="K67" s="90">
        <v>0.92</v>
      </c>
      <c r="L67" s="90">
        <v>0.92</v>
      </c>
      <c r="M67" s="90">
        <v>0.92</v>
      </c>
      <c r="N67" s="90">
        <v>0.92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0.89900010099989902</v>
      </c>
    </row>
  </sheetData>
  <sheetProtection algorithmName="SHA-512" hashValue="QTNrTNcX0LQnvnw9OcFIuF8iiKsb7nBsadUCrO1kCxqB4CvEkER3v8YCwNBmR8txM/1IAuOQ/zC/vA8HLWjOhA==" saltValue="f5+QlQPEjGE24L/HhPaCM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3" sqref="D3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x14ac:dyDescent="0.25">
      <c r="B3" s="11" t="s">
        <v>157</v>
      </c>
      <c r="C3" s="90">
        <v>1</v>
      </c>
      <c r="D3" s="90">
        <f>1/1.33</f>
        <v>0.75187969924812026</v>
      </c>
      <c r="E3" s="90">
        <f>1/1.33</f>
        <v>0.75187969924812026</v>
      </c>
      <c r="F3" s="90">
        <f>1/1.33</f>
        <v>0.75187969924812026</v>
      </c>
      <c r="G3" s="90">
        <f>1/1.33</f>
        <v>0.75187969924812026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f>1/1.33</f>
        <v>0.75187969924812026</v>
      </c>
      <c r="E5" s="90">
        <f>1/1.33</f>
        <v>0.75187969924812026</v>
      </c>
      <c r="F5" s="90">
        <f>1/1.33</f>
        <v>0.75187969924812026</v>
      </c>
      <c r="G5" s="90">
        <f>1/1.33</f>
        <v>0.75187969924812026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x14ac:dyDescent="0.25">
      <c r="B10" s="11" t="s">
        <v>157</v>
      </c>
      <c r="C10" s="90">
        <v>1</v>
      </c>
      <c r="D10" s="90">
        <f>1/1.54</f>
        <v>0.64935064935064934</v>
      </c>
      <c r="E10" s="90">
        <f>1/1.54</f>
        <v>0.64935064935064934</v>
      </c>
      <c r="F10" s="90">
        <f>1/1.54</f>
        <v>0.64935064935064934</v>
      </c>
      <c r="G10" s="90">
        <f>1/1.54</f>
        <v>0.64935064935064934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v>1</v>
      </c>
      <c r="D12" s="90">
        <f>1/1.54</f>
        <v>0.64935064935064934</v>
      </c>
      <c r="E12" s="90">
        <f>1/1.54</f>
        <v>0.64935064935064934</v>
      </c>
      <c r="F12" s="90">
        <f>1/1.54</f>
        <v>0.64935064935064934</v>
      </c>
      <c r="G12" s="90">
        <f>1/1.54</f>
        <v>0.64935064935064934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x14ac:dyDescent="0.25">
      <c r="B17" s="11" t="s">
        <v>157</v>
      </c>
      <c r="C17" s="90">
        <v>1</v>
      </c>
      <c r="D17" s="90">
        <f>1/1.16</f>
        <v>0.86206896551724144</v>
      </c>
      <c r="E17" s="90">
        <f>1/1.16</f>
        <v>0.86206896551724144</v>
      </c>
      <c r="F17" s="90">
        <f>1/1.16</f>
        <v>0.86206896551724144</v>
      </c>
      <c r="G17" s="90">
        <f>1/1.16</f>
        <v>0.86206896551724144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v>1</v>
      </c>
      <c r="D19" s="90">
        <f>1/1.16</f>
        <v>0.86206896551724144</v>
      </c>
      <c r="E19" s="90">
        <f>1/1.16</f>
        <v>0.86206896551724144</v>
      </c>
      <c r="F19" s="90">
        <f>1/1.16</f>
        <v>0.86206896551724144</v>
      </c>
      <c r="G19" s="90">
        <f>1/1.16</f>
        <v>0.86206896551724144</v>
      </c>
    </row>
  </sheetData>
  <sheetProtection algorithmName="SHA-512" hashValue="ZIjv20oIFeX8hEAP3JXu7+FjYQdIWvRgXIH4IkxRsMm14MAW5JMg2x9QOPJ7rc+IAMFEDvKO0XCydnz4Atw3VA==" saltValue="eIHIWivrA2mRyU/FI0KAAQ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53" zoomScale="80" zoomScaleNormal="80" workbookViewId="0">
      <selection activeCell="D50" sqref="D50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x14ac:dyDescent="0.25">
      <c r="C4" s="5" t="s">
        <v>340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x14ac:dyDescent="0.25">
      <c r="C44" s="5" t="s">
        <v>340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x14ac:dyDescent="0.25">
      <c r="B45" s="5" t="s">
        <v>82</v>
      </c>
      <c r="C45" s="5" t="s">
        <v>338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x14ac:dyDescent="0.25">
      <c r="C49" s="5" t="s">
        <v>339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0.32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x14ac:dyDescent="0.25">
      <c r="C59" s="5" t="s">
        <v>340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x14ac:dyDescent="0.25">
      <c r="C61" s="5" t="s">
        <v>340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x14ac:dyDescent="0.25">
      <c r="B62" s="5" t="s">
        <v>204</v>
      </c>
      <c r="C62" s="5" t="s">
        <v>338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x14ac:dyDescent="0.25">
      <c r="C63" s="5" t="s">
        <v>340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x14ac:dyDescent="0.25">
      <c r="C65" s="5" t="s">
        <v>340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x14ac:dyDescent="0.25">
      <c r="B66" s="5" t="s">
        <v>204</v>
      </c>
      <c r="C66" s="5" t="s">
        <v>338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x14ac:dyDescent="0.25">
      <c r="C67" s="5" t="s">
        <v>340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x14ac:dyDescent="0.25">
      <c r="C69" s="5" t="s">
        <v>340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339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339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339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340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339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340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339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340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339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340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339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340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339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340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82</v>
      </c>
      <c r="C100" s="5" t="s">
        <v>338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339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340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339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339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339</v>
      </c>
      <c r="D108" s="90">
        <v>0.14000000000000001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339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340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340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204</v>
      </c>
      <c r="C117" s="5" t="s">
        <v>338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340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340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204</v>
      </c>
      <c r="C121" s="5" t="s">
        <v>338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340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340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340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340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204</v>
      </c>
      <c r="C129" s="5" t="s">
        <v>338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340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339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339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339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339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340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339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340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340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340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340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339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340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82</v>
      </c>
      <c r="C155" s="5" t="s">
        <v>338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339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340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339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339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339</v>
      </c>
      <c r="D163" s="90">
        <v>0.47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gIF3gzcRwMevsVP9JM+eFJliWIfkjL6RYnVy29HH1zFwKTB/eJc1NVFGROY84dwrfqcI+B8KpOZ1waT1qDgCXQ==" saltValue="0Itsi1W8Rg+oXl6coWpo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D53" sqref="D53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x14ac:dyDescent="0.25">
      <c r="C12" s="8" t="s">
        <v>339</v>
      </c>
      <c r="D12" s="90">
        <v>0</v>
      </c>
      <c r="E12" s="90">
        <v>0</v>
      </c>
      <c r="F12" s="90">
        <v>0</v>
      </c>
      <c r="G12" s="90">
        <v>0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x14ac:dyDescent="0.25">
      <c r="C21" s="8" t="s">
        <v>339</v>
      </c>
      <c r="D21" s="90">
        <v>0.98</v>
      </c>
      <c r="E21" s="90">
        <v>0.98</v>
      </c>
      <c r="F21" s="90">
        <v>0.98</v>
      </c>
      <c r="G21" s="90">
        <v>0.98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x14ac:dyDescent="0.25">
      <c r="C23" s="8" t="s">
        <v>339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x14ac:dyDescent="0.25">
      <c r="C25" s="8" t="s">
        <v>339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SSCu+FR+SN+siPEoAiap+3g3Z0SGqFtJklZqGSbEJvGKfBY2J7BHBpfevFvAYPx8Hf15tBeGKZdJ4ehQEpyLRg==" saltValue="A0PmMaoo+OfazXy7x4UxVw==" spinCount="100000" sheet="1" selectLockedCells="1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DB4B0A5FF4A85E5854FA9B1BD84" ma:contentTypeVersion="6" ma:contentTypeDescription="Create a new document." ma:contentTypeScope="" ma:versionID="107b52809c0cc4b5077f1ac81d3c69cc">
  <xsd:schema xmlns:xsd="http://www.w3.org/2001/XMLSchema" xmlns:xs="http://www.w3.org/2001/XMLSchema" xmlns:p="http://schemas.microsoft.com/office/2006/metadata/properties" xmlns:ns2="5de2aea6-bdc3-4e5f-b0ae-84d85b5764e4" targetNamespace="http://schemas.microsoft.com/office/2006/metadata/properties" ma:root="true" ma:fieldsID="82b7e1b740270cfb0676be859a78f3d0" ns2:_="">
    <xsd:import namespace="5de2aea6-bdc3-4e5f-b0ae-84d85b5764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2aea6-bdc3-4e5f-b0ae-84d85b576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C75CA-CC96-4170-8049-A42F94D9C96F}"/>
</file>

<file path=customXml/itemProps2.xml><?xml version="1.0" encoding="utf-8"?>
<ds:datastoreItem xmlns:ds="http://schemas.openxmlformats.org/officeDocument/2006/customXml" ds:itemID="{21178959-8D16-40EA-AF05-29BDF7F551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2024-03-26T04:24:10Z</dcterms:modified>
</cp:coreProperties>
</file>