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739D6EEA-9DF5-4F91-B397-2CFB3493C65D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<sst xmlns="http://schemas.openxmlformats.org/spreadsheetml/2006/main" count="2092" uniqueCount="341">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</sst>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35537.190429687507</v>
      </c>
    </row>
    <row r="8" spans="1:3" ht="15" customHeight="1" x14ac:dyDescent="0.25">
      <c r="B8" s="5" t="s">
        <v>8</v>
      </c>
      <c r="C8" s="44">
        <v>0.13900000000000001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0.72714500427246098</v>
      </c>
    </row>
    <row r="11" spans="1:3" ht="15" customHeight="1" x14ac:dyDescent="0.25">
      <c r="B11" s="5" t="s">
        <v>11</v>
      </c>
      <c r="C11" s="45">
        <v>0.92599999999999993</v>
      </c>
    </row>
    <row r="12" spans="1:3" ht="15" customHeight="1" x14ac:dyDescent="0.25">
      <c r="B12" s="5" t="s">
        <v>12</v>
      </c>
      <c r="C12" s="45">
        <v>0.67400000000000004</v>
      </c>
    </row>
    <row r="13" spans="1:3" ht="15" customHeight="1" x14ac:dyDescent="0.25">
      <c r="B13" s="5" t="s">
        <v>13</v>
      </c>
      <c r="C13" s="45">
        <v>0.34100000000000003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0.1298</v>
      </c>
    </row>
    <row r="24" spans="1:3" ht="15" customHeight="1" x14ac:dyDescent="0.25">
      <c r="B24" s="15" t="s">
        <v>22</v>
      </c>
      <c r="C24" s="45">
        <v>0.56009999999999993</v>
      </c>
    </row>
    <row r="25" spans="1:3" ht="15" customHeight="1" x14ac:dyDescent="0.25">
      <c r="B25" s="15" t="s">
        <v>23</v>
      </c>
      <c r="C25" s="45">
        <v>0.27879999999999999</v>
      </c>
    </row>
    <row r="26" spans="1:3" ht="15" customHeight="1" x14ac:dyDescent="0.25">
      <c r="B26" s="15" t="s">
        <v>24</v>
      </c>
      <c r="C26" s="45">
        <v>3.1300000000000001E-2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</v>
      </c>
    </row>
    <row r="30" spans="1:3" ht="14.25" customHeight="1" x14ac:dyDescent="0.25">
      <c r="B30" s="25" t="s">
        <v>27</v>
      </c>
      <c r="C30" s="99">
        <v>0</v>
      </c>
    </row>
    <row r="31" spans="1:3" ht="14.25" customHeight="1" x14ac:dyDescent="0.25">
      <c r="B31" s="25" t="s">
        <v>28</v>
      </c>
      <c r="C31" s="99">
        <v>0</v>
      </c>
    </row>
    <row r="32" spans="1:3" ht="14.25" customHeight="1" x14ac:dyDescent="0.25">
      <c r="B32" s="25" t="s">
        <v>29</v>
      </c>
      <c r="C32" s="99">
        <v>0</v>
      </c>
    </row>
    <row r="33" spans="1:5" ht="13" customHeight="1" x14ac:dyDescent="0.25">
      <c r="B33" s="27" t="s">
        <v>30</v>
      </c>
      <c r="C33" s="48">
        <f>SUM(C29:C32)</f>
        <v>0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7.4189699999999998</v>
      </c>
    </row>
    <row r="38" spans="1:5" ht="15" customHeight="1" x14ac:dyDescent="0.25">
      <c r="B38" s="11" t="s">
        <v>34</v>
      </c>
      <c r="C38" s="43">
        <v>9.6127500000000001</v>
      </c>
      <c r="D38" s="12"/>
      <c r="E38" s="13"/>
    </row>
    <row r="39" spans="1:5" ht="15" customHeight="1" x14ac:dyDescent="0.25">
      <c r="B39" s="11" t="s">
        <v>35</v>
      </c>
      <c r="C39" s="43">
        <v>11.18662</v>
      </c>
      <c r="D39" s="12"/>
      <c r="E39" s="12"/>
    </row>
    <row r="40" spans="1:5" ht="15" customHeight="1" x14ac:dyDescent="0.25">
      <c r="B40" s="11" t="s">
        <v>36</v>
      </c>
      <c r="C40" s="100">
        <v>1.3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6.8913500000000001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7.1999000000000004E-3</v>
      </c>
      <c r="D45" s="12"/>
    </row>
    <row r="46" spans="1:5" ht="15.75" customHeight="1" x14ac:dyDescent="0.25">
      <c r="B46" s="11" t="s">
        <v>41</v>
      </c>
      <c r="C46" s="45">
        <v>7.7361899999999997E-2</v>
      </c>
      <c r="D46" s="12"/>
    </row>
    <row r="47" spans="1:5" ht="15.75" customHeight="1" x14ac:dyDescent="0.25">
      <c r="B47" s="11" t="s">
        <v>42</v>
      </c>
      <c r="C47" s="45">
        <v>7.4153999999999998E-2</v>
      </c>
      <c r="D47" s="12"/>
      <c r="E47" s="13"/>
    </row>
    <row r="48" spans="1:5" ht="15" customHeight="1" x14ac:dyDescent="0.25">
      <c r="B48" s="11" t="s">
        <v>43</v>
      </c>
      <c r="C48" s="46">
        <v>0.84128420000000004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0.56960999999999995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8.5988007000000005E-2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0.32330985398220102</v>
      </c>
      <c r="C2" s="98">
        <v>0.95</v>
      </c>
      <c r="D2" s="56">
        <v>61.861086469337543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39.966012526302137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474.4736397477613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1.45725994740313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13.098311970098051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13.098311970098051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13.098311970098051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13.098311970098051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13.098311970098051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13.098311970098051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0.38584710673064498</v>
      </c>
      <c r="C16" s="98">
        <v>0.95</v>
      </c>
      <c r="D16" s="56">
        <v>0.80507776999339498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10.92023727763495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10.92023727763495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0.16361800000000001</v>
      </c>
      <c r="C21" s="98">
        <v>0.95</v>
      </c>
      <c r="D21" s="56">
        <v>15.02309818297103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22.648664763181358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1.5806400000000002E-2</v>
      </c>
      <c r="C23" s="98">
        <v>0.95</v>
      </c>
      <c r="D23" s="56">
        <v>4.3331704911650171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0.76967864302269406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0.36256364878267</v>
      </c>
      <c r="C27" s="98">
        <v>0.95</v>
      </c>
      <c r="D27" s="56">
        <v>18.55694520304651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0.55214350000000001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122.3932530911411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0.61300697415096694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0.2988326</v>
      </c>
      <c r="C32" s="98">
        <v>0.95</v>
      </c>
      <c r="D32" s="56">
        <v>1.737469925830645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0.88251080000000004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9.5506600000000011E-2</v>
      </c>
      <c r="C38" s="98">
        <v>0.95</v>
      </c>
      <c r="D38" s="56">
        <v>1.895773684330621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0.57829639999999993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0.11636456000000001</v>
      </c>
      <c r="C3" s="21">
        <f>frac_mam_1_5months * 2.6</f>
        <v>0.11636456000000001</v>
      </c>
      <c r="D3" s="21">
        <f>frac_mam_6_11months * 2.6</f>
        <v>2.1411260000000001E-2</v>
      </c>
      <c r="E3" s="21">
        <f>frac_mam_12_23months * 2.6</f>
        <v>5.46052E-3</v>
      </c>
      <c r="F3" s="21">
        <f>frac_mam_24_59months * 2.6</f>
        <v>3.3434180000000001E-2</v>
      </c>
    </row>
    <row r="4" spans="1:6" ht="15.75" customHeight="1" x14ac:dyDescent="0.25">
      <c r="A4" s="3" t="s">
        <v>205</v>
      </c>
      <c r="B4" s="21">
        <f>frac_sam_1month * 2.6</f>
        <v>5.1407979999999999E-2</v>
      </c>
      <c r="C4" s="21">
        <f>frac_sam_1_5months * 2.6</f>
        <v>5.1407979999999999E-2</v>
      </c>
      <c r="D4" s="21">
        <f>frac_sam_6_11months * 2.6</f>
        <v>1.264354E-2</v>
      </c>
      <c r="E4" s="21">
        <f>frac_sam_12_23months * 2.6</f>
        <v>2.361632E-2</v>
      </c>
      <c r="F4" s="21">
        <f>frac_sam_24_59months * 2.6</f>
        <v>6.1942399999999993E-3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0.13900000000000001</v>
      </c>
      <c r="E2" s="60">
        <f>food_insecure</f>
        <v>0.13900000000000001</v>
      </c>
      <c r="F2" s="60">
        <f>food_insecure</f>
        <v>0.13900000000000001</v>
      </c>
      <c r="G2" s="60">
        <f>food_insecure</f>
        <v>0.13900000000000001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0.13900000000000001</v>
      </c>
      <c r="F5" s="60">
        <f>food_insecure</f>
        <v>0.13900000000000001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0.13900000000000001</v>
      </c>
      <c r="F8" s="60">
        <f>food_insecure</f>
        <v>0.13900000000000001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0.13900000000000001</v>
      </c>
      <c r="F9" s="60">
        <f>food_insecure</f>
        <v>0.13900000000000001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0.67400000000000004</v>
      </c>
      <c r="E10" s="60">
        <f>IF(ISBLANK(comm_deliv), frac_children_health_facility,1)</f>
        <v>0.67400000000000004</v>
      </c>
      <c r="F10" s="60">
        <f>IF(ISBLANK(comm_deliv), frac_children_health_facility,1)</f>
        <v>0.67400000000000004</v>
      </c>
      <c r="G10" s="60">
        <f>IF(ISBLANK(comm_deliv), frac_children_health_facility,1)</f>
        <v>0.67400000000000004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0.13900000000000001</v>
      </c>
      <c r="I15" s="60">
        <f>food_insecure</f>
        <v>0.13900000000000001</v>
      </c>
      <c r="J15" s="60">
        <f>food_insecure</f>
        <v>0.13900000000000001</v>
      </c>
      <c r="K15" s="60">
        <f>food_insecure</f>
        <v>0.13900000000000001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0.92599999999999993</v>
      </c>
      <c r="I18" s="60">
        <f>frac_PW_health_facility</f>
        <v>0.92599999999999993</v>
      </c>
      <c r="J18" s="60">
        <f>frac_PW_health_facility</f>
        <v>0.92599999999999993</v>
      </c>
      <c r="K18" s="60">
        <f>frac_PW_health_facility</f>
        <v>0.92599999999999993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0.34100000000000003</v>
      </c>
      <c r="M24" s="60">
        <f>famplan_unmet_need</f>
        <v>0.34100000000000003</v>
      </c>
      <c r="N24" s="60">
        <f>famplan_unmet_need</f>
        <v>0.34100000000000003</v>
      </c>
      <c r="O24" s="60">
        <f>famplan_unmet_need</f>
        <v>0.34100000000000003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0.14166358523178096</v>
      </c>
      <c r="M25" s="60">
        <f>(1-food_insecure)*(0.49)+food_insecure*(0.7)</f>
        <v>0.51919000000000004</v>
      </c>
      <c r="N25" s="60">
        <f>(1-food_insecure)*(0.49)+food_insecure*(0.7)</f>
        <v>0.51919000000000004</v>
      </c>
      <c r="O25" s="60">
        <f>(1-food_insecure)*(0.49)+food_insecure*(0.7)</f>
        <v>0.51919000000000004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6.0712965099334701E-2</v>
      </c>
      <c r="M26" s="60">
        <f>(1-food_insecure)*(0.21)+food_insecure*(0.3)</f>
        <v>0.22250999999999999</v>
      </c>
      <c r="N26" s="60">
        <f>(1-food_insecure)*(0.21)+food_insecure*(0.3)</f>
        <v>0.22250999999999999</v>
      </c>
      <c r="O26" s="60">
        <f>(1-food_insecure)*(0.21)+food_insecure*(0.3)</f>
        <v>0.22250999999999999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7.0478445396423325E-2</v>
      </c>
      <c r="M27" s="60">
        <f>(1-food_insecure)*(0.3)</f>
        <v>0.25829999999999997</v>
      </c>
      <c r="N27" s="60">
        <f>(1-food_insecure)*(0.3)</f>
        <v>0.25829999999999997</v>
      </c>
      <c r="O27" s="60">
        <f>(1-food_insecure)*(0.3)</f>
        <v>0.25829999999999997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0.72714500427246098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8680.7291999999998</v>
      </c>
      <c r="C2" s="49">
        <v>19000</v>
      </c>
      <c r="D2" s="49">
        <v>40000</v>
      </c>
      <c r="E2" s="49">
        <v>34000</v>
      </c>
      <c r="F2" s="49">
        <v>26000</v>
      </c>
      <c r="G2" s="17">
        <f t="shared" ref="G2:G13" si="0">C2+D2+E2+F2</f>
        <v>119000</v>
      </c>
      <c r="H2" s="17">
        <f t="shared" ref="H2:H13" si="1">(B2 + stillbirth*B2/(1000-stillbirth))/(1-abortion)</f>
        <v>9932.9162020691292</v>
      </c>
      <c r="I2" s="17">
        <f t="shared" ref="I2:I13" si="2">G2-H2</f>
        <v>109067.08379793087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8679.4519999999993</v>
      </c>
      <c r="C3" s="50">
        <v>19000</v>
      </c>
      <c r="D3" s="50">
        <v>40000</v>
      </c>
      <c r="E3" s="50">
        <v>36000</v>
      </c>
      <c r="F3" s="50">
        <v>26000</v>
      </c>
      <c r="G3" s="17">
        <f t="shared" si="0"/>
        <v>121000</v>
      </c>
      <c r="H3" s="17">
        <f t="shared" si="1"/>
        <v>9931.4547671733962</v>
      </c>
      <c r="I3" s="17">
        <f t="shared" si="2"/>
        <v>111068.54523282661</v>
      </c>
    </row>
    <row r="4" spans="1:9" ht="15.75" customHeight="1" x14ac:dyDescent="0.25">
      <c r="A4" s="5">
        <f t="shared" si="3"/>
        <v>2026</v>
      </c>
      <c r="B4" s="49">
        <v>8679.489599999999</v>
      </c>
      <c r="C4" s="50">
        <v>19000</v>
      </c>
      <c r="D4" s="50">
        <v>41000</v>
      </c>
      <c r="E4" s="50">
        <v>36000</v>
      </c>
      <c r="F4" s="50">
        <v>27000</v>
      </c>
      <c r="G4" s="17">
        <f t="shared" si="0"/>
        <v>123000</v>
      </c>
      <c r="H4" s="17">
        <f t="shared" si="1"/>
        <v>9931.4977909379413</v>
      </c>
      <c r="I4" s="17">
        <f t="shared" si="2"/>
        <v>113068.50220906206</v>
      </c>
    </row>
    <row r="5" spans="1:9" ht="15.75" customHeight="1" x14ac:dyDescent="0.25">
      <c r="A5" s="5">
        <f t="shared" si="3"/>
        <v>2027</v>
      </c>
      <c r="B5" s="49">
        <v>8654.5998</v>
      </c>
      <c r="C5" s="50">
        <v>19000</v>
      </c>
      <c r="D5" s="50">
        <v>41000</v>
      </c>
      <c r="E5" s="50">
        <v>38000</v>
      </c>
      <c r="F5" s="50">
        <v>28000</v>
      </c>
      <c r="G5" s="17">
        <f t="shared" si="0"/>
        <v>126000</v>
      </c>
      <c r="H5" s="17">
        <f t="shared" si="1"/>
        <v>9903.0176607564536</v>
      </c>
      <c r="I5" s="17">
        <f t="shared" si="2"/>
        <v>116096.98233924355</v>
      </c>
    </row>
    <row r="6" spans="1:9" ht="15.75" customHeight="1" x14ac:dyDescent="0.25">
      <c r="A6" s="5">
        <f t="shared" si="3"/>
        <v>2028</v>
      </c>
      <c r="B6" s="49">
        <v>8624.6896000000015</v>
      </c>
      <c r="C6" s="50">
        <v>19000</v>
      </c>
      <c r="D6" s="50">
        <v>41000</v>
      </c>
      <c r="E6" s="50">
        <v>38000</v>
      </c>
      <c r="F6" s="50">
        <v>29000</v>
      </c>
      <c r="G6" s="17">
        <f t="shared" si="0"/>
        <v>127000</v>
      </c>
      <c r="H6" s="17">
        <f t="shared" si="1"/>
        <v>9868.792942608683</v>
      </c>
      <c r="I6" s="17">
        <f t="shared" si="2"/>
        <v>117131.20705739132</v>
      </c>
    </row>
    <row r="7" spans="1:9" ht="15.75" customHeight="1" x14ac:dyDescent="0.25">
      <c r="A7" s="5">
        <f t="shared" si="3"/>
        <v>2029</v>
      </c>
      <c r="B7" s="49">
        <v>8608.231600000001</v>
      </c>
      <c r="C7" s="50">
        <v>20000</v>
      </c>
      <c r="D7" s="50">
        <v>41000</v>
      </c>
      <c r="E7" s="50">
        <v>38000</v>
      </c>
      <c r="F7" s="50">
        <v>30000</v>
      </c>
      <c r="G7" s="17">
        <f t="shared" si="0"/>
        <v>129000</v>
      </c>
      <c r="H7" s="17">
        <f t="shared" si="1"/>
        <v>9849.9608916268789</v>
      </c>
      <c r="I7" s="17">
        <f t="shared" si="2"/>
        <v>119150.03910837312</v>
      </c>
    </row>
    <row r="8" spans="1:9" ht="15.75" customHeight="1" x14ac:dyDescent="0.25">
      <c r="A8" s="5">
        <f t="shared" si="3"/>
        <v>2030</v>
      </c>
      <c r="B8" s="49">
        <v>8567.9220000000005</v>
      </c>
      <c r="C8" s="50">
        <v>20000</v>
      </c>
      <c r="D8" s="50">
        <v>40000</v>
      </c>
      <c r="E8" s="50">
        <v>40000</v>
      </c>
      <c r="F8" s="50">
        <v>31000</v>
      </c>
      <c r="G8" s="17">
        <f t="shared" si="0"/>
        <v>131000</v>
      </c>
      <c r="H8" s="17">
        <f t="shared" si="1"/>
        <v>9803.8366698346654</v>
      </c>
      <c r="I8" s="17">
        <f t="shared" si="2"/>
        <v>121196.16333016533</v>
      </c>
    </row>
    <row r="9" spans="1:9" ht="15.75" customHeight="1" x14ac:dyDescent="0.25">
      <c r="A9" s="5">
        <f t="shared" si="3"/>
        <v>2031</v>
      </c>
      <c r="B9" s="49">
        <v>8551.8066857142858</v>
      </c>
      <c r="C9" s="50">
        <v>20142.857142857141</v>
      </c>
      <c r="D9" s="50">
        <v>40000</v>
      </c>
      <c r="E9" s="50">
        <v>40857.142857142862</v>
      </c>
      <c r="F9" s="50">
        <v>31714.28571428571</v>
      </c>
      <c r="G9" s="17">
        <f t="shared" si="0"/>
        <v>132714.28571428571</v>
      </c>
      <c r="H9" s="17">
        <f t="shared" si="1"/>
        <v>9785.3967366583129</v>
      </c>
      <c r="I9" s="17">
        <f t="shared" si="2"/>
        <v>122928.8889776274</v>
      </c>
    </row>
    <row r="10" spans="1:9" ht="15.75" customHeight="1" x14ac:dyDescent="0.25">
      <c r="A10" s="5">
        <f t="shared" si="3"/>
        <v>2032</v>
      </c>
      <c r="B10" s="49">
        <v>8533.5716408163262</v>
      </c>
      <c r="C10" s="50">
        <v>20306.12244897959</v>
      </c>
      <c r="D10" s="50">
        <v>40000</v>
      </c>
      <c r="E10" s="50">
        <v>41551.020408163262</v>
      </c>
      <c r="F10" s="50">
        <v>32530.612244897959</v>
      </c>
      <c r="G10" s="17">
        <f t="shared" si="0"/>
        <v>134387.7551020408</v>
      </c>
      <c r="H10" s="17">
        <f t="shared" si="1"/>
        <v>9764.5313037275846</v>
      </c>
      <c r="I10" s="17">
        <f t="shared" si="2"/>
        <v>124623.22379831321</v>
      </c>
    </row>
    <row r="11" spans="1:9" ht="15.75" customHeight="1" x14ac:dyDescent="0.25">
      <c r="A11" s="5">
        <f t="shared" si="3"/>
        <v>2033</v>
      </c>
      <c r="B11" s="49">
        <v>8512.7262180758007</v>
      </c>
      <c r="C11" s="50">
        <v>20492.71137026239</v>
      </c>
      <c r="D11" s="50">
        <v>39857.142857142862</v>
      </c>
      <c r="E11" s="50">
        <v>42344.023323615147</v>
      </c>
      <c r="F11" s="50">
        <v>33320.699708454813</v>
      </c>
      <c r="G11" s="17">
        <f t="shared" si="0"/>
        <v>136014.57725947522</v>
      </c>
      <c r="H11" s="17">
        <f t="shared" si="1"/>
        <v>9740.6789484118217</v>
      </c>
      <c r="I11" s="17">
        <f t="shared" si="2"/>
        <v>126273.8983110634</v>
      </c>
    </row>
    <row r="12" spans="1:9" ht="15.75" customHeight="1" x14ac:dyDescent="0.25">
      <c r="A12" s="5">
        <f t="shared" si="3"/>
        <v>2034</v>
      </c>
      <c r="B12" s="49">
        <v>8492.4585635152016</v>
      </c>
      <c r="C12" s="50">
        <v>20705.955851728439</v>
      </c>
      <c r="D12" s="50">
        <v>39693.877551020407</v>
      </c>
      <c r="E12" s="50">
        <v>42964.598084131598</v>
      </c>
      <c r="F12" s="50">
        <v>34080.799666805498</v>
      </c>
      <c r="G12" s="17">
        <f t="shared" si="0"/>
        <v>137445.23115368595</v>
      </c>
      <c r="H12" s="17">
        <f t="shared" si="1"/>
        <v>9717.4877037911592</v>
      </c>
      <c r="I12" s="17">
        <f t="shared" si="2"/>
        <v>127727.74344989478</v>
      </c>
    </row>
    <row r="13" spans="1:9" ht="15.75" customHeight="1" x14ac:dyDescent="0.25">
      <c r="A13" s="5">
        <f t="shared" si="3"/>
        <v>2035</v>
      </c>
      <c r="B13" s="49">
        <v>8473.568415445945</v>
      </c>
      <c r="C13" s="50">
        <v>20949.66383054679</v>
      </c>
      <c r="D13" s="50">
        <v>39507.28862973761</v>
      </c>
      <c r="E13" s="50">
        <v>43673.826381864688</v>
      </c>
      <c r="F13" s="50">
        <v>34806.628190634852</v>
      </c>
      <c r="G13" s="17">
        <f t="shared" si="0"/>
        <v>138937.40703278396</v>
      </c>
      <c r="H13" s="17">
        <f t="shared" si="1"/>
        <v>9695.8726696743706</v>
      </c>
      <c r="I13" s="17">
        <f t="shared" si="2"/>
        <v>129241.53436310959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0.62580402242381872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0.60131033875650508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0.8733958515871898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0.86152256603337984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0.8733958515871898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0.86152256603337984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0.42500299717187723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0.39996802172431206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0.8420411734424248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0.82780709476784631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0.8420411734424248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0.82780709476784631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0.91538556534436455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0.90703101818039111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0.90486840483436359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0.89559386844505873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0.90486840483436359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0.89559386844505873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0.90004497975910858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7.087850000000008E-2</v>
      </c>
    </row>
    <row r="5" spans="1:8" ht="15.75" customHeight="1" x14ac:dyDescent="0.25">
      <c r="B5" s="19" t="s">
        <v>70</v>
      </c>
      <c r="C5" s="101">
        <v>2.284790000000006E-2</v>
      </c>
    </row>
    <row r="6" spans="1:8" ht="15.75" customHeight="1" x14ac:dyDescent="0.25">
      <c r="B6" s="19" t="s">
        <v>71</v>
      </c>
      <c r="C6" s="101">
        <v>0.16041219999999951</v>
      </c>
    </row>
    <row r="7" spans="1:8" ht="15.75" customHeight="1" x14ac:dyDescent="0.25">
      <c r="B7" s="19" t="s">
        <v>72</v>
      </c>
      <c r="C7" s="101">
        <v>0.44154420000000061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0.1909217999999997</v>
      </c>
    </row>
    <row r="10" spans="1:8" ht="15.75" customHeight="1" x14ac:dyDescent="0.25">
      <c r="B10" s="19" t="s">
        <v>75</v>
      </c>
      <c r="C10" s="101">
        <v>0.1133954000000001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0.12992921378605871</v>
      </c>
      <c r="D14" s="55">
        <v>0.12992921378605871</v>
      </c>
      <c r="E14" s="55">
        <v>0.12992921378605871</v>
      </c>
      <c r="F14" s="55">
        <v>0.12992921378605871</v>
      </c>
    </row>
    <row r="15" spans="1:8" ht="15.75" customHeight="1" x14ac:dyDescent="0.25">
      <c r="B15" s="19" t="s">
        <v>82</v>
      </c>
      <c r="C15" s="101">
        <v>0.15611618983341141</v>
      </c>
      <c r="D15" s="101">
        <v>0.15611618983341141</v>
      </c>
      <c r="E15" s="101">
        <v>0.15611618983341141</v>
      </c>
      <c r="F15" s="101">
        <v>0.15611618983341141</v>
      </c>
    </row>
    <row r="16" spans="1:8" ht="15.75" customHeight="1" x14ac:dyDescent="0.25">
      <c r="B16" s="19" t="s">
        <v>83</v>
      </c>
      <c r="C16" s="101">
        <v>2.2399666302878589E-2</v>
      </c>
      <c r="D16" s="101">
        <v>2.2399666302878589E-2</v>
      </c>
      <c r="E16" s="101">
        <v>2.2399666302878589E-2</v>
      </c>
      <c r="F16" s="101">
        <v>2.2399666302878589E-2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0.3292969420141898</v>
      </c>
      <c r="D20" s="101">
        <v>0.3292969420141898</v>
      </c>
      <c r="E20" s="101">
        <v>0.3292969420141898</v>
      </c>
      <c r="F20" s="101">
        <v>0.3292969420141898</v>
      </c>
    </row>
    <row r="21" spans="1:8" ht="15.75" customHeight="1" x14ac:dyDescent="0.25">
      <c r="B21" s="19" t="s">
        <v>88</v>
      </c>
      <c r="C21" s="101">
        <v>0.2531630768533944</v>
      </c>
      <c r="D21" s="101">
        <v>0.2531630768533944</v>
      </c>
      <c r="E21" s="101">
        <v>0.2531630768533944</v>
      </c>
      <c r="F21" s="101">
        <v>0.2531630768533944</v>
      </c>
    </row>
    <row r="22" spans="1:8" ht="15.75" customHeight="1" x14ac:dyDescent="0.25">
      <c r="B22" s="19" t="s">
        <v>89</v>
      </c>
      <c r="C22" s="101">
        <v>0.10909491121006711</v>
      </c>
      <c r="D22" s="101">
        <v>0.10909491121006711</v>
      </c>
      <c r="E22" s="101">
        <v>0.10909491121006711</v>
      </c>
      <c r="F22" s="101">
        <v>0.10909491121006711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6.0859322999999993E-2</v>
      </c>
    </row>
    <row r="27" spans="1:8" ht="15.75" customHeight="1" x14ac:dyDescent="0.25">
      <c r="B27" s="19" t="s">
        <v>92</v>
      </c>
      <c r="C27" s="101">
        <v>1.8473204999999999E-2</v>
      </c>
    </row>
    <row r="28" spans="1:8" ht="15.75" customHeight="1" x14ac:dyDescent="0.25">
      <c r="B28" s="19" t="s">
        <v>93</v>
      </c>
      <c r="C28" s="101">
        <v>0.14414038900000001</v>
      </c>
    </row>
    <row r="29" spans="1:8" ht="15.75" customHeight="1" x14ac:dyDescent="0.25">
      <c r="B29" s="19" t="s">
        <v>94</v>
      </c>
      <c r="C29" s="101">
        <v>0.27289618700000001</v>
      </c>
    </row>
    <row r="30" spans="1:8" ht="15.75" customHeight="1" x14ac:dyDescent="0.25">
      <c r="B30" s="19" t="s">
        <v>95</v>
      </c>
      <c r="C30" s="101">
        <v>8.5625018999999997E-2</v>
      </c>
    </row>
    <row r="31" spans="1:8" ht="15.75" customHeight="1" x14ac:dyDescent="0.25">
      <c r="B31" s="19" t="s">
        <v>96</v>
      </c>
      <c r="C31" s="101">
        <v>0.10194423</v>
      </c>
    </row>
    <row r="32" spans="1:8" ht="15.75" customHeight="1" x14ac:dyDescent="0.25">
      <c r="B32" s="19" t="s">
        <v>97</v>
      </c>
      <c r="C32" s="101">
        <v>2.9002987000000001E-2</v>
      </c>
    </row>
    <row r="33" spans="2:3" ht="15.75" customHeight="1" x14ac:dyDescent="0.25">
      <c r="B33" s="19" t="s">
        <v>98</v>
      </c>
      <c r="C33" s="101">
        <v>0.12602046</v>
      </c>
    </row>
    <row r="34" spans="2:3" ht="15.75" customHeight="1" x14ac:dyDescent="0.25">
      <c r="B34" s="19" t="s">
        <v>99</v>
      </c>
      <c r="C34" s="101">
        <v>0.16103819999999999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0.63022659041520701</v>
      </c>
      <c r="D2" s="52">
        <f>IFERROR(1-_xlfn.NORM.DIST(_xlfn.NORM.INV(SUM(D4:D5), 0, 1) + 1, 0, 1, TRUE), "")</f>
        <v>0.63022659041520701</v>
      </c>
      <c r="E2" s="52">
        <f>IFERROR(1-_xlfn.NORM.DIST(_xlfn.NORM.INV(SUM(E4:E5), 0, 1) + 1, 0, 1, TRUE), "")</f>
        <v>0.71255753542372247</v>
      </c>
      <c r="F2" s="52">
        <f>IFERROR(1-_xlfn.NORM.DIST(_xlfn.NORM.INV(SUM(F4:F5), 0, 1) + 1, 0, 1, TRUE), "")</f>
        <v>0.51175722460135675</v>
      </c>
      <c r="G2" s="52">
        <f>IFERROR(1-_xlfn.NORM.DIST(_xlfn.NORM.INV(SUM(G4:G5), 0, 1) + 1, 0, 1, TRUE), "")</f>
        <v>0.48100930942231379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0.27841780958479301</v>
      </c>
      <c r="D3" s="52">
        <f>IFERROR(_xlfn.NORM.DIST(_xlfn.NORM.INV(SUM(D4:D5), 0, 1) + 1, 0, 1, TRUE) - SUM(D4:D5), "")</f>
        <v>0.27841780958479301</v>
      </c>
      <c r="E3" s="52">
        <f>IFERROR(_xlfn.NORM.DIST(_xlfn.NORM.INV(SUM(E4:E5), 0, 1) + 1, 0, 1, TRUE) - SUM(E4:E5), "")</f>
        <v>0.22816546457627754</v>
      </c>
      <c r="F3" s="52">
        <f>IFERROR(_xlfn.NORM.DIST(_xlfn.NORM.INV(SUM(F4:F5), 0, 1) + 1, 0, 1, TRUE) - SUM(F4:F5), "")</f>
        <v>0.33661457539864326</v>
      </c>
      <c r="G3" s="52">
        <f>IFERROR(_xlfn.NORM.DIST(_xlfn.NORM.INV(SUM(G4:G5), 0, 1) + 1, 0, 1, TRUE) - SUM(G4:G5), "")</f>
        <v>0.34853839057768621</v>
      </c>
    </row>
    <row r="4" spans="1:15" ht="15.75" customHeight="1" x14ac:dyDescent="0.25">
      <c r="B4" s="5" t="s">
        <v>104</v>
      </c>
      <c r="C4" s="45">
        <v>8.4036100000000002E-2</v>
      </c>
      <c r="D4" s="53">
        <v>8.4036100000000002E-2</v>
      </c>
      <c r="E4" s="53">
        <v>4.9786299999999999E-2</v>
      </c>
      <c r="F4" s="53">
        <v>0.1290269</v>
      </c>
      <c r="G4" s="53">
        <v>0.13913690000000001</v>
      </c>
    </row>
    <row r="5" spans="1:15" ht="15.75" customHeight="1" x14ac:dyDescent="0.25">
      <c r="B5" s="5" t="s">
        <v>105</v>
      </c>
      <c r="C5" s="45">
        <v>7.3194999999999996E-3</v>
      </c>
      <c r="D5" s="53">
        <v>7.3194999999999996E-3</v>
      </c>
      <c r="E5" s="53">
        <v>9.4906999999999995E-3</v>
      </c>
      <c r="F5" s="53">
        <v>2.2601300000000001E-2</v>
      </c>
      <c r="G5" s="53">
        <v>3.13154E-2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0.6977135777550062</v>
      </c>
      <c r="D8" s="52">
        <f>IFERROR(1-_xlfn.NORM.DIST(_xlfn.NORM.INV(SUM(D10:D11), 0, 1) + 1, 0, 1, TRUE), "")</f>
        <v>0.6977135777550062</v>
      </c>
      <c r="E8" s="52">
        <f>IFERROR(1-_xlfn.NORM.DIST(_xlfn.NORM.INV(SUM(E10:E11), 0, 1) + 1, 0, 1, TRUE), "")</f>
        <v>0.88939061286156762</v>
      </c>
      <c r="F8" s="52">
        <f>IFERROR(1-_xlfn.NORM.DIST(_xlfn.NORM.INV(SUM(F10:F11), 0, 1) + 1, 0, 1, TRUE), "")</f>
        <v>0.90044310598811761</v>
      </c>
      <c r="G8" s="52">
        <f>IFERROR(1-_xlfn.NORM.DIST(_xlfn.NORM.INV(SUM(G10:G11), 0, 1) + 1, 0, 1, TRUE), "")</f>
        <v>0.87773770306376453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0.2377585222449938</v>
      </c>
      <c r="D9" s="52">
        <f>IFERROR(_xlfn.NORM.DIST(_xlfn.NORM.INV(SUM(D10:D11), 0, 1) + 1, 0, 1, TRUE) - SUM(D10:D11), "")</f>
        <v>0.2377585222449938</v>
      </c>
      <c r="E9" s="52">
        <f>IFERROR(_xlfn.NORM.DIST(_xlfn.NORM.INV(SUM(E10:E11), 0, 1) + 1, 0, 1, TRUE) - SUM(E10:E11), "")</f>
        <v>9.7511387138432382E-2</v>
      </c>
      <c r="F9" s="52">
        <f>IFERROR(_xlfn.NORM.DIST(_xlfn.NORM.INV(SUM(F10:F11), 0, 1) + 1, 0, 1, TRUE) - SUM(F10:F11), "")</f>
        <v>8.8373494011882395E-2</v>
      </c>
      <c r="G9" s="52">
        <f>IFERROR(_xlfn.NORM.DIST(_xlfn.NORM.INV(SUM(G10:G11), 0, 1) + 1, 0, 1, TRUE) - SUM(G10:G11), "")</f>
        <v>0.10702059693623547</v>
      </c>
    </row>
    <row r="10" spans="1:15" ht="15.75" customHeight="1" x14ac:dyDescent="0.25">
      <c r="B10" s="5" t="s">
        <v>109</v>
      </c>
      <c r="C10" s="45">
        <v>4.47556E-2</v>
      </c>
      <c r="D10" s="53">
        <v>4.47556E-2</v>
      </c>
      <c r="E10" s="53">
        <v>8.2351000000000004E-3</v>
      </c>
      <c r="F10" s="53">
        <v>2.1002E-3</v>
      </c>
      <c r="G10" s="53">
        <v>1.2859300000000001E-2</v>
      </c>
    </row>
    <row r="11" spans="1:15" ht="15.75" customHeight="1" x14ac:dyDescent="0.25">
      <c r="B11" s="5" t="s">
        <v>110</v>
      </c>
      <c r="C11" s="45">
        <v>1.97723E-2</v>
      </c>
      <c r="D11" s="53">
        <v>1.97723E-2</v>
      </c>
      <c r="E11" s="53">
        <v>4.8628999999999999E-3</v>
      </c>
      <c r="F11" s="53">
        <v>9.0831999999999996E-3</v>
      </c>
      <c r="G11" s="53">
        <v>2.3823999999999998E-3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0.434390426</v>
      </c>
      <c r="D14" s="54">
        <v>0.409926477324</v>
      </c>
      <c r="E14" s="54">
        <v>0.409926477324</v>
      </c>
      <c r="F14" s="54">
        <v>0.344801102149</v>
      </c>
      <c r="G14" s="54">
        <v>0.344801102149</v>
      </c>
      <c r="H14" s="45">
        <v>0.21299999999999999</v>
      </c>
      <c r="I14" s="55">
        <v>0.21299999999999999</v>
      </c>
      <c r="J14" s="55">
        <v>0.21299999999999999</v>
      </c>
      <c r="K14" s="55">
        <v>0.21299999999999999</v>
      </c>
      <c r="L14" s="45">
        <v>0.217</v>
      </c>
      <c r="M14" s="55">
        <v>0.217</v>
      </c>
      <c r="N14" s="55">
        <v>0.217</v>
      </c>
      <c r="O14" s="55">
        <v>0.217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0.24743313055385999</v>
      </c>
      <c r="D15" s="52">
        <f t="shared" si="0"/>
        <v>0.23349822074852361</v>
      </c>
      <c r="E15" s="52">
        <f t="shared" si="0"/>
        <v>0.23349822074852361</v>
      </c>
      <c r="F15" s="52">
        <f t="shared" si="0"/>
        <v>0.19640215579509188</v>
      </c>
      <c r="G15" s="52">
        <f t="shared" si="0"/>
        <v>0.19640215579509188</v>
      </c>
      <c r="H15" s="52">
        <f t="shared" si="0"/>
        <v>0.12132692999999999</v>
      </c>
      <c r="I15" s="52">
        <f t="shared" si="0"/>
        <v>0.12132692999999999</v>
      </c>
      <c r="J15" s="52">
        <f t="shared" si="0"/>
        <v>0.12132692999999999</v>
      </c>
      <c r="K15" s="52">
        <f t="shared" si="0"/>
        <v>0.12132692999999999</v>
      </c>
      <c r="L15" s="52">
        <f t="shared" si="0"/>
        <v>0.12360536999999999</v>
      </c>
      <c r="M15" s="52">
        <f t="shared" si="0"/>
        <v>0.12360536999999999</v>
      </c>
      <c r="N15" s="52">
        <f t="shared" si="0"/>
        <v>0.12360536999999999</v>
      </c>
      <c r="O15" s="52">
        <f t="shared" si="0"/>
        <v>0.12360536999999999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0.49676169999999997</v>
      </c>
      <c r="D2" s="53">
        <v>0.2988326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0.15486159999999999</v>
      </c>
      <c r="D3" s="53">
        <v>0.17969640000000001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0.30888520000000003</v>
      </c>
      <c r="D4" s="53">
        <v>0.43784060000000002</v>
      </c>
      <c r="E4" s="53">
        <v>0.76457330000000001</v>
      </c>
      <c r="F4" s="53">
        <v>0.47131149999999999</v>
      </c>
      <c r="G4" s="53">
        <v>0</v>
      </c>
    </row>
    <row r="5" spans="1:7" x14ac:dyDescent="0.25">
      <c r="B5" s="3" t="s">
        <v>122</v>
      </c>
      <c r="C5" s="52">
        <v>3.9491400000000003E-2</v>
      </c>
      <c r="D5" s="52">
        <v>8.3630399999999994E-2</v>
      </c>
      <c r="E5" s="52">
        <f>1-SUM(E2:E4)</f>
        <v>0.23542669999999999</v>
      </c>
      <c r="F5" s="52">
        <f>1-SUM(F2:F4)</f>
        <v>0.52868850000000001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6214D4-E2FB-45AF-80CB-D89AC0B4E536}"/>
</file>

<file path=customXml/itemProps2.xml><?xml version="1.0" encoding="utf-8"?>
<ds:datastoreItem xmlns:ds="http://schemas.openxmlformats.org/officeDocument/2006/customXml" ds:itemID="{AF0895A7-C0E6-4BAA-A257-B299585732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2024-03-26T04:24:11Z</dcterms:modified>
</cp:coreProperties>
</file>