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B080FA7E-AC4F-4E34-BF06-1A36AC48B0D7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35" i="2"/>
  <c r="A32" i="2"/>
  <c r="A31" i="2"/>
  <c r="A29" i="2"/>
  <c r="A27" i="2"/>
  <c r="A24" i="2"/>
  <c r="A23" i="2"/>
  <c r="A21" i="2"/>
  <c r="A19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A17" i="2"/>
  <c r="A25" i="2"/>
  <c r="A3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8" i="2"/>
  <c r="A26" i="2"/>
  <c r="A34" i="2"/>
  <c r="A39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<sst xmlns="http://schemas.openxmlformats.org/spreadsheetml/2006/main" count="2092" uniqueCount="341">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</sst>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290962.58984375</v>
      </c>
    </row>
    <row r="8" spans="1:3" ht="15" customHeight="1" x14ac:dyDescent="0.25">
      <c r="B8" s="5" t="s">
        <v>8</v>
      </c>
      <c r="C8" s="44">
        <v>0.161</v>
      </c>
    </row>
    <row r="9" spans="1:3" ht="15" customHeight="1" x14ac:dyDescent="0.25">
      <c r="B9" s="5" t="s">
        <v>9</v>
      </c>
      <c r="C9" s="45">
        <v>0.13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0.73299999999999998</v>
      </c>
    </row>
    <row r="12" spans="1:3" ht="15" customHeight="1" x14ac:dyDescent="0.25">
      <c r="B12" s="5" t="s">
        <v>12</v>
      </c>
      <c r="C12" s="45">
        <v>0.14000000000000001</v>
      </c>
    </row>
    <row r="13" spans="1:3" ht="15" customHeight="1" x14ac:dyDescent="0.25">
      <c r="B13" s="5" t="s">
        <v>13</v>
      </c>
      <c r="C13" s="45">
        <v>0.52200000000000002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8.2100000000000006E-2</v>
      </c>
    </row>
    <row r="24" spans="1:3" ht="15" customHeight="1" x14ac:dyDescent="0.25">
      <c r="B24" s="15" t="s">
        <v>22</v>
      </c>
      <c r="C24" s="45">
        <v>0.47039999999999998</v>
      </c>
    </row>
    <row r="25" spans="1:3" ht="15" customHeight="1" x14ac:dyDescent="0.25">
      <c r="B25" s="15" t="s">
        <v>23</v>
      </c>
      <c r="C25" s="45">
        <v>0.35039999999999999</v>
      </c>
    </row>
    <row r="26" spans="1:3" ht="15" customHeight="1" x14ac:dyDescent="0.25">
      <c r="B26" s="15" t="s">
        <v>24</v>
      </c>
      <c r="C26" s="45">
        <v>9.7100000000000006E-2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0.34290466666442998</v>
      </c>
    </row>
    <row r="30" spans="1:3" ht="14.25" customHeight="1" x14ac:dyDescent="0.25">
      <c r="B30" s="25" t="s">
        <v>27</v>
      </c>
      <c r="C30" s="99">
        <v>3.07454772021977E-2</v>
      </c>
    </row>
    <row r="31" spans="1:3" ht="14.25" customHeight="1" x14ac:dyDescent="0.25">
      <c r="B31" s="25" t="s">
        <v>28</v>
      </c>
      <c r="C31" s="99">
        <v>5.8505816356096703E-2</v>
      </c>
    </row>
    <row r="32" spans="1:3" ht="14.25" customHeight="1" x14ac:dyDescent="0.25">
      <c r="B32" s="25" t="s">
        <v>29</v>
      </c>
      <c r="C32" s="99">
        <v>0.56784403977727504</v>
      </c>
    </row>
    <row r="33" spans="1:5" ht="13" customHeight="1" x14ac:dyDescent="0.25">
      <c r="B33" s="27" t="s">
        <v>30</v>
      </c>
      <c r="C33" s="48">
        <f>SUM(C29:C32)</f>
        <v>0.99999999999999944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17.9986</v>
      </c>
    </row>
    <row r="38" spans="1:5" ht="15" customHeight="1" x14ac:dyDescent="0.25">
      <c r="B38" s="11" t="s">
        <v>34</v>
      </c>
      <c r="C38" s="43">
        <v>28.314070000000001</v>
      </c>
      <c r="D38" s="12"/>
      <c r="E38" s="13"/>
    </row>
    <row r="39" spans="1:5" ht="15" customHeight="1" x14ac:dyDescent="0.25">
      <c r="B39" s="11" t="s">
        <v>35</v>
      </c>
      <c r="C39" s="43">
        <v>34.869419999999998</v>
      </c>
      <c r="D39" s="12"/>
      <c r="E39" s="12"/>
    </row>
    <row r="40" spans="1:5" ht="15" customHeight="1" x14ac:dyDescent="0.25">
      <c r="B40" s="11" t="s">
        <v>36</v>
      </c>
      <c r="C40" s="100">
        <v>1.86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14.728400000000001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9.3217000000000005E-3</v>
      </c>
      <c r="D45" s="12"/>
    </row>
    <row r="46" spans="1:5" ht="15.75" customHeight="1" x14ac:dyDescent="0.25">
      <c r="B46" s="11" t="s">
        <v>41</v>
      </c>
      <c r="C46" s="45">
        <v>9.8476499999999995E-2</v>
      </c>
      <c r="D46" s="12"/>
    </row>
    <row r="47" spans="1:5" ht="15.75" customHeight="1" x14ac:dyDescent="0.25">
      <c r="B47" s="11" t="s">
        <v>42</v>
      </c>
      <c r="C47" s="45">
        <v>0.1054223</v>
      </c>
      <c r="D47" s="12"/>
      <c r="E47" s="13"/>
    </row>
    <row r="48" spans="1:5" ht="15" customHeight="1" x14ac:dyDescent="0.25">
      <c r="B48" s="11" t="s">
        <v>43</v>
      </c>
      <c r="C48" s="46">
        <v>0.78677949999999996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0.53242699999999998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0.15632107000000001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0.1373248379</v>
      </c>
      <c r="C2" s="98">
        <v>0.95</v>
      </c>
      <c r="D2" s="56">
        <v>75.762459741294762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40.277595090905891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692.41497754805209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1.948123472199554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13.409894534701801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13.409894534701801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13.409894534701801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13.409894534701801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13.409894534701801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13.409894534701801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0.181216658</v>
      </c>
      <c r="C16" s="98">
        <v>0.95</v>
      </c>
      <c r="D16" s="56">
        <v>1.1166603345971491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0.91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15.87897005630612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15.87897005630612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16.240204677311851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23.349725533539811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4.5279095940423639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0.70192425380000001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0.17607158440000001</v>
      </c>
      <c r="C27" s="98">
        <v>0.95</v>
      </c>
      <c r="D27" s="56">
        <v>18.982269813808941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0.42899999999999999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154.12104998731229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2.5851124882101071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2.4385423103594892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0.80550820000000001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0.64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3.2209000111311989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0.45500000000000002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0.11569543555555543</v>
      </c>
      <c r="C3" s="21">
        <f>frac_mam_1_5months * 2.6</f>
        <v>0.11569543555555543</v>
      </c>
      <c r="D3" s="21">
        <f>frac_mam_6_11months * 2.6</f>
        <v>0.13936601714285718</v>
      </c>
      <c r="E3" s="21">
        <f>frac_mam_12_23months * 2.6</f>
        <v>0.10964060714285719</v>
      </c>
      <c r="F3" s="21">
        <f>frac_mam_24_59months * 2.6</f>
        <v>5.7678548571428463E-2</v>
      </c>
    </row>
    <row r="4" spans="1:6" ht="15.75" customHeight="1" x14ac:dyDescent="0.25">
      <c r="A4" s="3" t="s">
        <v>205</v>
      </c>
      <c r="B4" s="21">
        <f>frac_sam_1month * 2.6</f>
        <v>8.159332518518532E-2</v>
      </c>
      <c r="C4" s="21">
        <f>frac_sam_1_5months * 2.6</f>
        <v>8.159332518518532E-2</v>
      </c>
      <c r="D4" s="21">
        <f>frac_sam_6_11months * 2.6</f>
        <v>7.3841615714285644E-2</v>
      </c>
      <c r="E4" s="21">
        <f>frac_sam_12_23months * 2.6</f>
        <v>5.9669489285714361E-2</v>
      </c>
      <c r="F4" s="21">
        <f>frac_sam_24_59months * 2.6</f>
        <v>2.7716417857142822E-2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0.161</v>
      </c>
      <c r="E2" s="60">
        <f>food_insecure</f>
        <v>0.161</v>
      </c>
      <c r="F2" s="60">
        <f>food_insecure</f>
        <v>0.161</v>
      </c>
      <c r="G2" s="60">
        <f>food_insecure</f>
        <v>0.161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0.161</v>
      </c>
      <c r="F5" s="60">
        <f>food_insecure</f>
        <v>0.161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0.161</v>
      </c>
      <c r="F8" s="60">
        <f>food_insecure</f>
        <v>0.161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0.161</v>
      </c>
      <c r="F9" s="60">
        <f>food_insecure</f>
        <v>0.161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0.14000000000000001</v>
      </c>
      <c r="E10" s="60">
        <f>IF(ISBLANK(comm_deliv), frac_children_health_facility,1)</f>
        <v>0.14000000000000001</v>
      </c>
      <c r="F10" s="60">
        <f>IF(ISBLANK(comm_deliv), frac_children_health_facility,1)</f>
        <v>0.14000000000000001</v>
      </c>
      <c r="G10" s="60">
        <f>IF(ISBLANK(comm_deliv), frac_children_health_facility,1)</f>
        <v>0.14000000000000001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0.161</v>
      </c>
      <c r="I15" s="60">
        <f>food_insecure</f>
        <v>0.161</v>
      </c>
      <c r="J15" s="60">
        <f>food_insecure</f>
        <v>0.161</v>
      </c>
      <c r="K15" s="60">
        <f>food_insecure</f>
        <v>0.161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0.73299999999999998</v>
      </c>
      <c r="I18" s="60">
        <f>frac_PW_health_facility</f>
        <v>0.73299999999999998</v>
      </c>
      <c r="J18" s="60">
        <f>frac_PW_health_facility</f>
        <v>0.73299999999999998</v>
      </c>
      <c r="K18" s="60">
        <f>frac_PW_health_facility</f>
        <v>0.73299999999999998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0.13</v>
      </c>
      <c r="I19" s="60">
        <f>frac_malaria_risk</f>
        <v>0.13</v>
      </c>
      <c r="J19" s="60">
        <f>frac_malaria_risk</f>
        <v>0.13</v>
      </c>
      <c r="K19" s="60">
        <f>frac_malaria_risk</f>
        <v>0.13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0.52200000000000002</v>
      </c>
      <c r="M24" s="60">
        <f>famplan_unmet_need</f>
        <v>0.52200000000000002</v>
      </c>
      <c r="N24" s="60">
        <f>famplan_unmet_need</f>
        <v>0.52200000000000002</v>
      </c>
      <c r="O24" s="60">
        <f>famplan_unmet_need</f>
        <v>0.52200000000000002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0.35303054385085197</v>
      </c>
      <c r="M25" s="60">
        <f>(1-food_insecure)*(0.49)+food_insecure*(0.7)</f>
        <v>0.52381</v>
      </c>
      <c r="N25" s="60">
        <f>(1-food_insecure)*(0.49)+food_insecure*(0.7)</f>
        <v>0.52381</v>
      </c>
      <c r="O25" s="60">
        <f>(1-food_insecure)*(0.49)+food_insecure*(0.7)</f>
        <v>0.52381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0.15129880450750799</v>
      </c>
      <c r="M26" s="60">
        <f>(1-food_insecure)*(0.21)+food_insecure*(0.3)</f>
        <v>0.22449</v>
      </c>
      <c r="N26" s="60">
        <f>(1-food_insecure)*(0.21)+food_insecure*(0.3)</f>
        <v>0.22449</v>
      </c>
      <c r="O26" s="60">
        <f>(1-food_insecure)*(0.21)+food_insecure*(0.3)</f>
        <v>0.22449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0.16963744084164001</v>
      </c>
      <c r="M27" s="60">
        <f>(1-food_insecure)*(0.3)</f>
        <v>0.25169999999999998</v>
      </c>
      <c r="N27" s="60">
        <f>(1-food_insecure)*(0.3)</f>
        <v>0.25169999999999998</v>
      </c>
      <c r="O27" s="60">
        <f>(1-food_insecure)*(0.3)</f>
        <v>0.25169999999999998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0.13</v>
      </c>
      <c r="D34" s="60">
        <f t="shared" si="3"/>
        <v>0.13</v>
      </c>
      <c r="E34" s="60">
        <f t="shared" si="3"/>
        <v>0.13</v>
      </c>
      <c r="F34" s="60">
        <f t="shared" si="3"/>
        <v>0.13</v>
      </c>
      <c r="G34" s="60">
        <f t="shared" si="3"/>
        <v>0.13</v>
      </c>
      <c r="H34" s="60">
        <f t="shared" si="3"/>
        <v>0.13</v>
      </c>
      <c r="I34" s="60">
        <f t="shared" si="3"/>
        <v>0.13</v>
      </c>
      <c r="J34" s="60">
        <f t="shared" si="3"/>
        <v>0.13</v>
      </c>
      <c r="K34" s="60">
        <f t="shared" si="3"/>
        <v>0.13</v>
      </c>
      <c r="L34" s="60">
        <f t="shared" si="3"/>
        <v>0.13</v>
      </c>
      <c r="M34" s="60">
        <f t="shared" si="3"/>
        <v>0.13</v>
      </c>
      <c r="N34" s="60">
        <f t="shared" si="3"/>
        <v>0.13</v>
      </c>
      <c r="O34" s="60">
        <f t="shared" si="3"/>
        <v>0.13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51324.739200000004</v>
      </c>
      <c r="C2" s="49">
        <v>112000</v>
      </c>
      <c r="D2" s="49">
        <v>215000</v>
      </c>
      <c r="E2" s="49">
        <v>211000</v>
      </c>
      <c r="F2" s="49">
        <v>172000</v>
      </c>
      <c r="G2" s="17">
        <f t="shared" ref="G2:G13" si="0">C2+D2+E2+F2</f>
        <v>710000</v>
      </c>
      <c r="H2" s="17">
        <f t="shared" ref="H2:H13" si="1">(B2 + stillbirth*B2/(1000-stillbirth))/(1-abortion)</f>
        <v>59195.421113048709</v>
      </c>
      <c r="I2" s="17">
        <f t="shared" ref="I2:I13" si="2">G2-H2</f>
        <v>650804.57888695132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50949.474000000002</v>
      </c>
      <c r="C3" s="50">
        <v>114000</v>
      </c>
      <c r="D3" s="50">
        <v>216000</v>
      </c>
      <c r="E3" s="50">
        <v>212000</v>
      </c>
      <c r="F3" s="50">
        <v>178000</v>
      </c>
      <c r="G3" s="17">
        <f t="shared" si="0"/>
        <v>720000</v>
      </c>
      <c r="H3" s="17">
        <f t="shared" si="1"/>
        <v>58762.608752200453</v>
      </c>
      <c r="I3" s="17">
        <f t="shared" si="2"/>
        <v>661237.3912477995</v>
      </c>
    </row>
    <row r="4" spans="1:9" ht="15.75" customHeight="1" x14ac:dyDescent="0.25">
      <c r="A4" s="5">
        <f t="shared" si="3"/>
        <v>2026</v>
      </c>
      <c r="B4" s="49">
        <v>50817.1538</v>
      </c>
      <c r="C4" s="50">
        <v>117000</v>
      </c>
      <c r="D4" s="50">
        <v>217000</v>
      </c>
      <c r="E4" s="50">
        <v>212000</v>
      </c>
      <c r="F4" s="50">
        <v>184000</v>
      </c>
      <c r="G4" s="17">
        <f t="shared" si="0"/>
        <v>730000</v>
      </c>
      <c r="H4" s="17">
        <f t="shared" si="1"/>
        <v>58609.997164049164</v>
      </c>
      <c r="I4" s="17">
        <f t="shared" si="2"/>
        <v>671390.00283595081</v>
      </c>
    </row>
    <row r="5" spans="1:9" ht="15.75" customHeight="1" x14ac:dyDescent="0.25">
      <c r="A5" s="5">
        <f t="shared" si="3"/>
        <v>2027</v>
      </c>
      <c r="B5" s="49">
        <v>50620.957999999991</v>
      </c>
      <c r="C5" s="50">
        <v>119000</v>
      </c>
      <c r="D5" s="50">
        <v>218000</v>
      </c>
      <c r="E5" s="50">
        <v>214000</v>
      </c>
      <c r="F5" s="50">
        <v>190000</v>
      </c>
      <c r="G5" s="17">
        <f t="shared" si="0"/>
        <v>741000</v>
      </c>
      <c r="H5" s="17">
        <f t="shared" si="1"/>
        <v>58383.714611373041</v>
      </c>
      <c r="I5" s="17">
        <f t="shared" si="2"/>
        <v>682616.28538862697</v>
      </c>
    </row>
    <row r="6" spans="1:9" ht="15.75" customHeight="1" x14ac:dyDescent="0.25">
      <c r="A6" s="5">
        <f t="shared" si="3"/>
        <v>2028</v>
      </c>
      <c r="B6" s="49">
        <v>50399.868599999987</v>
      </c>
      <c r="C6" s="50">
        <v>122000</v>
      </c>
      <c r="D6" s="50">
        <v>219000</v>
      </c>
      <c r="E6" s="50">
        <v>214000</v>
      </c>
      <c r="F6" s="50">
        <v>195000</v>
      </c>
      <c r="G6" s="17">
        <f t="shared" si="0"/>
        <v>750000</v>
      </c>
      <c r="H6" s="17">
        <f t="shared" si="1"/>
        <v>58128.721009055211</v>
      </c>
      <c r="I6" s="17">
        <f t="shared" si="2"/>
        <v>691871.27899094485</v>
      </c>
    </row>
    <row r="7" spans="1:9" ht="15.75" customHeight="1" x14ac:dyDescent="0.25">
      <c r="A7" s="5">
        <f t="shared" si="3"/>
        <v>2029</v>
      </c>
      <c r="B7" s="49">
        <v>50153.885599999987</v>
      </c>
      <c r="C7" s="50">
        <v>125000</v>
      </c>
      <c r="D7" s="50">
        <v>221000</v>
      </c>
      <c r="E7" s="50">
        <v>215000</v>
      </c>
      <c r="F7" s="50">
        <v>199000</v>
      </c>
      <c r="G7" s="17">
        <f t="shared" si="0"/>
        <v>760000</v>
      </c>
      <c r="H7" s="17">
        <f t="shared" si="1"/>
        <v>57845.01635709565</v>
      </c>
      <c r="I7" s="17">
        <f t="shared" si="2"/>
        <v>702154.98364290432</v>
      </c>
    </row>
    <row r="8" spans="1:9" ht="15.75" customHeight="1" x14ac:dyDescent="0.25">
      <c r="A8" s="5">
        <f t="shared" si="3"/>
        <v>2030</v>
      </c>
      <c r="B8" s="49">
        <v>49865.2</v>
      </c>
      <c r="C8" s="50">
        <v>126000</v>
      </c>
      <c r="D8" s="50">
        <v>223000</v>
      </c>
      <c r="E8" s="50">
        <v>215000</v>
      </c>
      <c r="F8" s="50">
        <v>202000</v>
      </c>
      <c r="G8" s="17">
        <f t="shared" si="0"/>
        <v>766000</v>
      </c>
      <c r="H8" s="17">
        <f t="shared" si="1"/>
        <v>57512.060633839435</v>
      </c>
      <c r="I8" s="17">
        <f t="shared" si="2"/>
        <v>708487.93936616054</v>
      </c>
    </row>
    <row r="9" spans="1:9" ht="15.75" customHeight="1" x14ac:dyDescent="0.25">
      <c r="A9" s="5">
        <f t="shared" si="3"/>
        <v>2031</v>
      </c>
      <c r="B9" s="49">
        <v>49656.694399999993</v>
      </c>
      <c r="C9" s="50">
        <v>128000</v>
      </c>
      <c r="D9" s="50">
        <v>224142.8571428571</v>
      </c>
      <c r="E9" s="50">
        <v>215571.42857142861</v>
      </c>
      <c r="F9" s="50">
        <v>206285.71428571429</v>
      </c>
      <c r="G9" s="17">
        <f t="shared" si="0"/>
        <v>774000</v>
      </c>
      <c r="H9" s="17">
        <f t="shared" si="1"/>
        <v>57271.580565380966</v>
      </c>
      <c r="I9" s="17">
        <f t="shared" si="2"/>
        <v>716728.41943461902</v>
      </c>
    </row>
    <row r="10" spans="1:9" ht="15.75" customHeight="1" x14ac:dyDescent="0.25">
      <c r="A10" s="5">
        <f t="shared" si="3"/>
        <v>2032</v>
      </c>
      <c r="B10" s="49">
        <v>49472.011599999991</v>
      </c>
      <c r="C10" s="50">
        <v>130000</v>
      </c>
      <c r="D10" s="50">
        <v>225306.12244897959</v>
      </c>
      <c r="E10" s="50">
        <v>216081.63265306121</v>
      </c>
      <c r="F10" s="50">
        <v>210326.53061224491</v>
      </c>
      <c r="G10" s="17">
        <f t="shared" si="0"/>
        <v>781714.28571428568</v>
      </c>
      <c r="H10" s="17">
        <f t="shared" si="1"/>
        <v>57058.576538692469</v>
      </c>
      <c r="I10" s="17">
        <f t="shared" si="2"/>
        <v>724655.70917559322</v>
      </c>
    </row>
    <row r="11" spans="1:9" ht="15.75" customHeight="1" x14ac:dyDescent="0.25">
      <c r="A11" s="5">
        <f t="shared" si="3"/>
        <v>2033</v>
      </c>
      <c r="B11" s="49">
        <v>49279.848428571408</v>
      </c>
      <c r="C11" s="50">
        <v>131857.1428571429</v>
      </c>
      <c r="D11" s="50">
        <v>226492.7113702624</v>
      </c>
      <c r="E11" s="50">
        <v>216664.72303207</v>
      </c>
      <c r="F11" s="50">
        <v>214087.46355685129</v>
      </c>
      <c r="G11" s="17">
        <f t="shared" si="0"/>
        <v>789102.04081632651</v>
      </c>
      <c r="H11" s="17">
        <f t="shared" si="1"/>
        <v>56836.945020784355</v>
      </c>
      <c r="I11" s="17">
        <f t="shared" si="2"/>
        <v>732265.09579554212</v>
      </c>
    </row>
    <row r="12" spans="1:9" ht="15.75" customHeight="1" x14ac:dyDescent="0.25">
      <c r="A12" s="5">
        <f t="shared" si="3"/>
        <v>2034</v>
      </c>
      <c r="B12" s="49">
        <v>49088.261346938758</v>
      </c>
      <c r="C12" s="50">
        <v>133693.87755102041</v>
      </c>
      <c r="D12" s="50">
        <v>227705.95585172839</v>
      </c>
      <c r="E12" s="50">
        <v>217045.39775093709</v>
      </c>
      <c r="F12" s="50">
        <v>217528.52977925859</v>
      </c>
      <c r="G12" s="17">
        <f t="shared" si="0"/>
        <v>795973.76093294448</v>
      </c>
      <c r="H12" s="17">
        <f t="shared" si="1"/>
        <v>56615.977936414551</v>
      </c>
      <c r="I12" s="17">
        <f t="shared" si="2"/>
        <v>739357.78299652995</v>
      </c>
    </row>
    <row r="13" spans="1:9" ht="15.75" customHeight="1" x14ac:dyDescent="0.25">
      <c r="A13" s="5">
        <f t="shared" si="3"/>
        <v>2035</v>
      </c>
      <c r="B13" s="49">
        <v>48900.888882215717</v>
      </c>
      <c r="C13" s="50">
        <v>135364.43148688049</v>
      </c>
      <c r="D13" s="50">
        <v>228949.66383054669</v>
      </c>
      <c r="E13" s="50">
        <v>217480.45457249961</v>
      </c>
      <c r="F13" s="50">
        <v>220746.89117629561</v>
      </c>
      <c r="G13" s="17">
        <f t="shared" si="0"/>
        <v>802541.44106622238</v>
      </c>
      <c r="H13" s="17">
        <f t="shared" si="1"/>
        <v>56399.871783180162</v>
      </c>
      <c r="I13" s="17">
        <f t="shared" si="2"/>
        <v>746141.56928304222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0.57904620963705633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0.51639106509924293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0.85016875498477185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0.8149730842116546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0.85016875498477185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0.8149730842116546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0.37808909265646767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0.32061685393448547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0.81428483987999378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0.77291148753071603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0.81428483987999378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0.77291148753071603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0.89897090342408148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0.87353367932885118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0.88666608562257676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0.8586179846339701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0.88666608562257676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0.8586179846339701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0.88950276243093918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5.1841994815800541E-3</v>
      </c>
    </row>
    <row r="4" spans="1:8" ht="15.75" customHeight="1" x14ac:dyDescent="0.25">
      <c r="B4" s="19" t="s">
        <v>69</v>
      </c>
      <c r="C4" s="101">
        <v>5.427229457277058E-2</v>
      </c>
    </row>
    <row r="5" spans="1:8" ht="15.75" customHeight="1" x14ac:dyDescent="0.25">
      <c r="B5" s="19" t="s">
        <v>70</v>
      </c>
      <c r="C5" s="101">
        <v>5.7245594275440542E-2</v>
      </c>
    </row>
    <row r="6" spans="1:8" ht="15.75" customHeight="1" x14ac:dyDescent="0.25">
      <c r="B6" s="19" t="s">
        <v>71</v>
      </c>
      <c r="C6" s="101">
        <v>0.2203829779617027</v>
      </c>
    </row>
    <row r="7" spans="1:8" ht="15.75" customHeight="1" x14ac:dyDescent="0.25">
      <c r="B7" s="19" t="s">
        <v>72</v>
      </c>
      <c r="C7" s="101">
        <v>0.451351354864864</v>
      </c>
    </row>
    <row r="8" spans="1:8" ht="15.75" customHeight="1" x14ac:dyDescent="0.25">
      <c r="B8" s="19" t="s">
        <v>73</v>
      </c>
      <c r="C8" s="101">
        <v>6.7609993239000699E-4</v>
      </c>
    </row>
    <row r="9" spans="1:8" ht="15.75" customHeight="1" x14ac:dyDescent="0.25">
      <c r="B9" s="19" t="s">
        <v>74</v>
      </c>
      <c r="C9" s="101">
        <v>0.10118568988143101</v>
      </c>
    </row>
    <row r="10" spans="1:8" ht="15.75" customHeight="1" x14ac:dyDescent="0.25">
      <c r="B10" s="19" t="s">
        <v>75</v>
      </c>
      <c r="C10" s="101">
        <v>0.1097017890298211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0.1058635654773743</v>
      </c>
      <c r="D14" s="55">
        <v>0.1058635654773743</v>
      </c>
      <c r="E14" s="55">
        <v>0.1058635654773743</v>
      </c>
      <c r="F14" s="55">
        <v>0.1058635654773743</v>
      </c>
    </row>
    <row r="15" spans="1:8" ht="15.75" customHeight="1" x14ac:dyDescent="0.25">
      <c r="B15" s="19" t="s">
        <v>82</v>
      </c>
      <c r="C15" s="101">
        <v>0.1278583636640768</v>
      </c>
      <c r="D15" s="101">
        <v>0.1278583636640768</v>
      </c>
      <c r="E15" s="101">
        <v>0.1278583636640768</v>
      </c>
      <c r="F15" s="101">
        <v>0.1278583636640768</v>
      </c>
    </row>
    <row r="16" spans="1:8" ht="15.75" customHeight="1" x14ac:dyDescent="0.25">
      <c r="B16" s="19" t="s">
        <v>83</v>
      </c>
      <c r="C16" s="101">
        <v>7.9540754572635704E-3</v>
      </c>
      <c r="D16" s="101">
        <v>7.9540754572635704E-3</v>
      </c>
      <c r="E16" s="101">
        <v>7.9540754572635704E-3</v>
      </c>
      <c r="F16" s="101">
        <v>7.9540754572635704E-3</v>
      </c>
    </row>
    <row r="17" spans="1:8" ht="15.75" customHeight="1" x14ac:dyDescent="0.25">
      <c r="B17" s="19" t="s">
        <v>84</v>
      </c>
      <c r="C17" s="101">
        <v>1.0143106701154391E-3</v>
      </c>
      <c r="D17" s="101">
        <v>1.0143106701154391E-3</v>
      </c>
      <c r="E17" s="101">
        <v>1.0143106701154391E-3</v>
      </c>
      <c r="F17" s="101">
        <v>1.0143106701154391E-3</v>
      </c>
    </row>
    <row r="18" spans="1:8" ht="15.75" customHeight="1" x14ac:dyDescent="0.25">
      <c r="B18" s="19" t="s">
        <v>85</v>
      </c>
      <c r="C18" s="101">
        <v>5.3754549258704684E-4</v>
      </c>
      <c r="D18" s="101">
        <v>5.3754549258704684E-4</v>
      </c>
      <c r="E18" s="101">
        <v>5.3754549258704684E-4</v>
      </c>
      <c r="F18" s="101">
        <v>5.3754549258704684E-4</v>
      </c>
    </row>
    <row r="19" spans="1:8" ht="15.75" customHeight="1" x14ac:dyDescent="0.25">
      <c r="B19" s="19" t="s">
        <v>86</v>
      </c>
      <c r="C19" s="101">
        <v>4.7038167794426723E-3</v>
      </c>
      <c r="D19" s="101">
        <v>4.7038167794426723E-3</v>
      </c>
      <c r="E19" s="101">
        <v>4.7038167794426723E-3</v>
      </c>
      <c r="F19" s="101">
        <v>4.7038167794426723E-3</v>
      </c>
    </row>
    <row r="20" spans="1:8" ht="15.75" customHeight="1" x14ac:dyDescent="0.25">
      <c r="B20" s="19" t="s">
        <v>87</v>
      </c>
      <c r="C20" s="101">
        <v>0.51254978406956297</v>
      </c>
      <c r="D20" s="101">
        <v>0.51254978406956297</v>
      </c>
      <c r="E20" s="101">
        <v>0.51254978406956297</v>
      </c>
      <c r="F20" s="101">
        <v>0.51254978406956297</v>
      </c>
    </row>
    <row r="21" spans="1:8" ht="15.75" customHeight="1" x14ac:dyDescent="0.25">
      <c r="B21" s="19" t="s">
        <v>88</v>
      </c>
      <c r="C21" s="101">
        <v>0.1037471416459311</v>
      </c>
      <c r="D21" s="101">
        <v>0.1037471416459311</v>
      </c>
      <c r="E21" s="101">
        <v>0.1037471416459311</v>
      </c>
      <c r="F21" s="101">
        <v>0.1037471416459311</v>
      </c>
    </row>
    <row r="22" spans="1:8" ht="15.75" customHeight="1" x14ac:dyDescent="0.25">
      <c r="B22" s="19" t="s">
        <v>89</v>
      </c>
      <c r="C22" s="101">
        <v>0.13577139674364599</v>
      </c>
      <c r="D22" s="101">
        <v>0.13577139674364599</v>
      </c>
      <c r="E22" s="101">
        <v>0.13577139674364599</v>
      </c>
      <c r="F22" s="101">
        <v>0.13577139674364599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4.6309735999999997E-2</v>
      </c>
    </row>
    <row r="27" spans="1:8" ht="15.75" customHeight="1" x14ac:dyDescent="0.25">
      <c r="B27" s="19" t="s">
        <v>92</v>
      </c>
      <c r="C27" s="101">
        <v>2.2410375E-2</v>
      </c>
    </row>
    <row r="28" spans="1:8" ht="15.75" customHeight="1" x14ac:dyDescent="0.25">
      <c r="B28" s="19" t="s">
        <v>93</v>
      </c>
      <c r="C28" s="101">
        <v>0.105751911</v>
      </c>
    </row>
    <row r="29" spans="1:8" ht="15.75" customHeight="1" x14ac:dyDescent="0.25">
      <c r="B29" s="19" t="s">
        <v>94</v>
      </c>
      <c r="C29" s="101">
        <v>0.106714216</v>
      </c>
    </row>
    <row r="30" spans="1:8" ht="15.75" customHeight="1" x14ac:dyDescent="0.25">
      <c r="B30" s="19" t="s">
        <v>95</v>
      </c>
      <c r="C30" s="101">
        <v>5.0717751999999991E-2</v>
      </c>
    </row>
    <row r="31" spans="1:8" ht="15.75" customHeight="1" x14ac:dyDescent="0.25">
      <c r="B31" s="19" t="s">
        <v>96</v>
      </c>
      <c r="C31" s="101">
        <v>9.8186192000000005E-2</v>
      </c>
    </row>
    <row r="32" spans="1:8" ht="15.75" customHeight="1" x14ac:dyDescent="0.25">
      <c r="B32" s="19" t="s">
        <v>97</v>
      </c>
      <c r="C32" s="101">
        <v>3.9065067000000002E-2</v>
      </c>
    </row>
    <row r="33" spans="2:3" ht="15.75" customHeight="1" x14ac:dyDescent="0.25">
      <c r="B33" s="19" t="s">
        <v>98</v>
      </c>
      <c r="C33" s="101">
        <v>9.1384244000000003E-2</v>
      </c>
    </row>
    <row r="34" spans="2:3" ht="15.75" customHeight="1" x14ac:dyDescent="0.25">
      <c r="B34" s="19" t="s">
        <v>99</v>
      </c>
      <c r="C34" s="101">
        <v>0.43946050599999997</v>
      </c>
    </row>
    <row r="35" spans="2:3" ht="15.75" customHeight="1" x14ac:dyDescent="0.25">
      <c r="B35" s="27" t="s">
        <v>30</v>
      </c>
      <c r="C35" s="48">
        <f>SUM(C26:C34)</f>
        <v>0.99999999900000003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0.44285538537378655</v>
      </c>
      <c r="D2" s="52">
        <f>IFERROR(1-_xlfn.NORM.DIST(_xlfn.NORM.INV(SUM(D4:D5), 0, 1) + 1, 0, 1, TRUE), "")</f>
        <v>0.44285538537378655</v>
      </c>
      <c r="E2" s="52">
        <f>IFERROR(1-_xlfn.NORM.DIST(_xlfn.NORM.INV(SUM(E4:E5), 0, 1) + 1, 0, 1, TRUE), "")</f>
        <v>0.40178002797069423</v>
      </c>
      <c r="F2" s="52">
        <f>IFERROR(1-_xlfn.NORM.DIST(_xlfn.NORM.INV(SUM(F4:F5), 0, 1) + 1, 0, 1, TRUE), "")</f>
        <v>0.22812914802423689</v>
      </c>
      <c r="G2" s="52">
        <f>IFERROR(1-_xlfn.NORM.DIST(_xlfn.NORM.INV(SUM(G4:G5), 0, 1) + 1, 0, 1, TRUE), "")</f>
        <v>0.23057770189609239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0.36121937018176886</v>
      </c>
      <c r="D3" s="52">
        <f>IFERROR(_xlfn.NORM.DIST(_xlfn.NORM.INV(SUM(D4:D5), 0, 1) + 1, 0, 1, TRUE) - SUM(D4:D5), "")</f>
        <v>0.36121937018176886</v>
      </c>
      <c r="E3" s="52">
        <f>IFERROR(_xlfn.NORM.DIST(_xlfn.NORM.INV(SUM(E4:E5), 0, 1) + 1, 0, 1, TRUE) - SUM(E4:E5), "")</f>
        <v>0.37197115417216309</v>
      </c>
      <c r="F3" s="52">
        <f>IFERROR(_xlfn.NORM.DIST(_xlfn.NORM.INV(SUM(F4:F5), 0, 1) + 1, 0, 1, TRUE) - SUM(F4:F5), "")</f>
        <v>0.37250072697576209</v>
      </c>
      <c r="G3" s="52">
        <f>IFERROR(_xlfn.NORM.DIST(_xlfn.NORM.INV(SUM(G4:G5), 0, 1) + 1, 0, 1, TRUE) - SUM(G4:G5), "")</f>
        <v>0.3731679552467646</v>
      </c>
    </row>
    <row r="4" spans="1:15" ht="15.75" customHeight="1" x14ac:dyDescent="0.25">
      <c r="B4" s="5" t="s">
        <v>104</v>
      </c>
      <c r="C4" s="45">
        <v>0.112263488888889</v>
      </c>
      <c r="D4" s="53">
        <v>0.112263488888889</v>
      </c>
      <c r="E4" s="53">
        <v>0.137070732142857</v>
      </c>
      <c r="F4" s="53">
        <v>0.23025359642857199</v>
      </c>
      <c r="G4" s="53">
        <v>0.23818805000000001</v>
      </c>
    </row>
    <row r="5" spans="1:15" ht="15.75" customHeight="1" x14ac:dyDescent="0.25">
      <c r="B5" s="5" t="s">
        <v>105</v>
      </c>
      <c r="C5" s="45">
        <v>8.3661755555555606E-2</v>
      </c>
      <c r="D5" s="53">
        <v>8.3661755555555606E-2</v>
      </c>
      <c r="E5" s="53">
        <v>8.917808571428569E-2</v>
      </c>
      <c r="F5" s="53">
        <v>0.169116528571429</v>
      </c>
      <c r="G5" s="53">
        <v>0.15806629285714299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0.66761624962887534</v>
      </c>
      <c r="D8" s="52">
        <f>IFERROR(1-_xlfn.NORM.DIST(_xlfn.NORM.INV(SUM(D10:D11), 0, 1) + 1, 0, 1, TRUE), "")</f>
        <v>0.66761624962887534</v>
      </c>
      <c r="E8" s="52">
        <f>IFERROR(1-_xlfn.NORM.DIST(_xlfn.NORM.INV(SUM(E10:E11), 0, 1) + 1, 0, 1, TRUE), "")</f>
        <v>0.65236906929467353</v>
      </c>
      <c r="F8" s="52">
        <f>IFERROR(1-_xlfn.NORM.DIST(_xlfn.NORM.INV(SUM(F10:F11), 0, 1) + 1, 0, 1, TRUE), "")</f>
        <v>0.69608096772344996</v>
      </c>
      <c r="G8" s="52">
        <f>IFERROR(1-_xlfn.NORM.DIST(_xlfn.NORM.INV(SUM(G10:G11), 0, 1) + 1, 0, 1, TRUE), "")</f>
        <v>0.79969823107410432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0.25650345777853206</v>
      </c>
      <c r="D9" s="52">
        <f>IFERROR(_xlfn.NORM.DIST(_xlfn.NORM.INV(SUM(D10:D11), 0, 1) + 1, 0, 1, TRUE) - SUM(D10:D11), "")</f>
        <v>0.25650345777853206</v>
      </c>
      <c r="E9" s="52">
        <f>IFERROR(_xlfn.NORM.DIST(_xlfn.NORM.INV(SUM(E10:E11), 0, 1) + 1, 0, 1, TRUE) - SUM(E10:E11), "")</f>
        <v>0.26562799499104084</v>
      </c>
      <c r="F9" s="52">
        <f>IFERROR(_xlfn.NORM.DIST(_xlfn.NORM.INV(SUM(F10:F11), 0, 1) + 1, 0, 1, TRUE) - SUM(F10:F11), "")</f>
        <v>0.23879976441940715</v>
      </c>
      <c r="G9" s="52">
        <f>IFERROR(_xlfn.NORM.DIST(_xlfn.NORM.INV(SUM(G10:G11), 0, 1) + 1, 0, 1, TRUE) - SUM(G10:G11), "")</f>
        <v>0.16745755106875282</v>
      </c>
    </row>
    <row r="10" spans="1:15" ht="15.75" customHeight="1" x14ac:dyDescent="0.25">
      <c r="B10" s="5" t="s">
        <v>109</v>
      </c>
      <c r="C10" s="45">
        <v>4.4498244444444397E-2</v>
      </c>
      <c r="D10" s="53">
        <v>4.4498244444444397E-2</v>
      </c>
      <c r="E10" s="53">
        <v>5.3602314285714298E-2</v>
      </c>
      <c r="F10" s="53">
        <v>4.2169464285714303E-2</v>
      </c>
      <c r="G10" s="53">
        <v>2.2184057142857101E-2</v>
      </c>
    </row>
    <row r="11" spans="1:15" ht="15.75" customHeight="1" x14ac:dyDescent="0.25">
      <c r="B11" s="5" t="s">
        <v>110</v>
      </c>
      <c r="C11" s="45">
        <v>3.1382048148148198E-2</v>
      </c>
      <c r="D11" s="53">
        <v>3.1382048148148198E-2</v>
      </c>
      <c r="E11" s="53">
        <v>2.8400621428571401E-2</v>
      </c>
      <c r="F11" s="53">
        <v>2.29498035714286E-2</v>
      </c>
      <c r="G11" s="53">
        <v>1.06601607142857E-2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0.62072485924999998</v>
      </c>
      <c r="D14" s="54">
        <v>0.60000760225000005</v>
      </c>
      <c r="E14" s="54">
        <v>0.60000760225000005</v>
      </c>
      <c r="F14" s="54">
        <v>0.365490115999</v>
      </c>
      <c r="G14" s="54">
        <v>0.365490115999</v>
      </c>
      <c r="H14" s="45">
        <v>0.34</v>
      </c>
      <c r="I14" s="55">
        <v>0.34</v>
      </c>
      <c r="J14" s="55">
        <v>0.34</v>
      </c>
      <c r="K14" s="55">
        <v>0.34</v>
      </c>
      <c r="L14" s="45">
        <v>0.3</v>
      </c>
      <c r="M14" s="55">
        <v>0.3</v>
      </c>
      <c r="N14" s="55">
        <v>0.3</v>
      </c>
      <c r="O14" s="55">
        <v>0.3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0.33049067463589971</v>
      </c>
      <c r="D15" s="52">
        <f t="shared" si="0"/>
        <v>0.31946024764316078</v>
      </c>
      <c r="E15" s="52">
        <f t="shared" si="0"/>
        <v>0.31946024764316078</v>
      </c>
      <c r="F15" s="52">
        <f t="shared" si="0"/>
        <v>0.19459680599099957</v>
      </c>
      <c r="G15" s="52">
        <f t="shared" si="0"/>
        <v>0.19459680599099957</v>
      </c>
      <c r="H15" s="52">
        <f t="shared" si="0"/>
        <v>0.18102518000000001</v>
      </c>
      <c r="I15" s="52">
        <f t="shared" si="0"/>
        <v>0.18102518000000001</v>
      </c>
      <c r="J15" s="52">
        <f t="shared" si="0"/>
        <v>0.18102518000000001</v>
      </c>
      <c r="K15" s="52">
        <f t="shared" si="0"/>
        <v>0.18102518000000001</v>
      </c>
      <c r="L15" s="52">
        <f t="shared" si="0"/>
        <v>0.15972809999999998</v>
      </c>
      <c r="M15" s="52">
        <f t="shared" si="0"/>
        <v>0.15972809999999998</v>
      </c>
      <c r="N15" s="52">
        <f t="shared" si="0"/>
        <v>0.15972809999999998</v>
      </c>
      <c r="O15" s="52">
        <f t="shared" si="0"/>
        <v>0.15972809999999998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0.62221204666666696</v>
      </c>
      <c r="D2" s="53">
        <v>0.37241107999999989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0.20366382666666699</v>
      </c>
      <c r="D3" s="53">
        <v>0.21027029999999999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0.134299366666667</v>
      </c>
      <c r="D4" s="53">
        <v>0.36252068999999998</v>
      </c>
      <c r="E4" s="53">
        <v>0.88787583999999997</v>
      </c>
      <c r="F4" s="53">
        <v>0.60830171666666699</v>
      </c>
      <c r="G4" s="53">
        <v>0</v>
      </c>
    </row>
    <row r="5" spans="1:7" x14ac:dyDescent="0.25">
      <c r="B5" s="3" t="s">
        <v>122</v>
      </c>
      <c r="C5" s="52">
        <v>3.9824749999999999E-2</v>
      </c>
      <c r="D5" s="52">
        <v>5.4797930000000002E-2</v>
      </c>
      <c r="E5" s="52">
        <f>1-SUM(E2:E4)</f>
        <v>0.11212416000000003</v>
      </c>
      <c r="F5" s="52">
        <f>1-SUM(F2:F4)</f>
        <v>0.39169828333333301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E443A5-2D21-4628-AB20-5A5F4605B73F}"/>
</file>

<file path=customXml/itemProps2.xml><?xml version="1.0" encoding="utf-8"?>
<ds:datastoreItem xmlns:ds="http://schemas.openxmlformats.org/officeDocument/2006/customXml" ds:itemID="{DD0E41C8-8A99-45AB-B4DC-B85CB40BA8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2024-03-26T04:24:14Z</dcterms:modified>
</cp:coreProperties>
</file>