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2.xml" ContentType="application/vnd.openxmlformats-officedocument.spreadsheetml.comments+xml"/>
  <Override PartName="/xl/comments8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4.xml" ContentType="application/vnd.openxmlformats-officedocument.spreadsheetml.comments+xml"/>
  <Override PartName="/xl/comments7.xml" ContentType="application/vnd.openxmlformats-officedocument.spreadsheetml.comments+xml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11.xml" ContentType="application/vnd.openxmlformats-officedocument.spreadsheetml.comments+xml"/>
  <Override PartName="/xl/comments16.xml" ContentType="application/vnd.openxmlformats-officedocument.spreadsheetml.comments+xml"/>
  <Override PartName="/xl/comments9.xml" ContentType="application/vnd.openxmlformats-officedocument.spreadsheetml.comments+xml"/>
  <Override PartName="/xl/comments17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09C6ECA1-B408-4F96-BF59-4B57864028FF}" xr6:coauthVersionLast="47" xr6:coauthVersionMax="47" xr10:uidLastSave="{00000000-0000-0000-0000-000000000000}"/>
  <bookViews>
    <workbookView xWindow="0" yWindow="3670" windowWidth="19200" windowHeight="6530" tabRatio="961" firstSheet="8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F152" i="27"/>
  <c r="H136" i="27"/>
  <c r="G136" i="27"/>
  <c r="F136" i="27"/>
  <c r="E136" i="27"/>
  <c r="H135" i="27"/>
  <c r="G135" i="27"/>
  <c r="F135" i="27"/>
  <c r="E135" i="27"/>
  <c r="D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H112" i="27"/>
  <c r="E112" i="27"/>
  <c r="D112" i="27"/>
  <c r="H97" i="27"/>
  <c r="H152" i="27" s="1"/>
  <c r="G97" i="27"/>
  <c r="G152" i="27" s="1"/>
  <c r="F97" i="27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D115" i="20"/>
  <c r="H114" i="20"/>
  <c r="G114" i="20"/>
  <c r="F114" i="20"/>
  <c r="D114" i="20"/>
  <c r="H113" i="20"/>
  <c r="G113" i="20"/>
  <c r="F113" i="20"/>
  <c r="E113" i="20"/>
  <c r="D113" i="20"/>
  <c r="H112" i="20"/>
  <c r="G112" i="20"/>
  <c r="F112" i="20"/>
  <c r="E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D62" i="20"/>
  <c r="H61" i="20"/>
  <c r="G61" i="20"/>
  <c r="F61" i="20"/>
  <c r="D61" i="20"/>
  <c r="H60" i="20"/>
  <c r="G60" i="20"/>
  <c r="F60" i="20"/>
  <c r="E60" i="20"/>
  <c r="D60" i="20"/>
  <c r="H59" i="20"/>
  <c r="G59" i="20"/>
  <c r="F59" i="20"/>
  <c r="E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I39" i="2"/>
  <c r="H39" i="2"/>
  <c r="G39" i="2"/>
  <c r="A39" i="2"/>
  <c r="H38" i="2"/>
  <c r="G38" i="2"/>
  <c r="I38" i="2" s="1"/>
  <c r="A37" i="2"/>
  <c r="A36" i="2"/>
  <c r="A35" i="2"/>
  <c r="A34" i="2"/>
  <c r="A32" i="2"/>
  <c r="A31" i="2"/>
  <c r="A29" i="2"/>
  <c r="A28" i="2"/>
  <c r="A27" i="2"/>
  <c r="A26" i="2"/>
  <c r="A24" i="2"/>
  <c r="A23" i="2"/>
  <c r="A21" i="2"/>
  <c r="A20" i="2"/>
  <c r="A19" i="2"/>
  <c r="A18" i="2"/>
  <c r="A16" i="2"/>
  <c r="A15" i="2"/>
  <c r="I13" i="2"/>
  <c r="H13" i="2"/>
  <c r="G13" i="2"/>
  <c r="H12" i="2"/>
  <c r="G12" i="2"/>
  <c r="I12" i="2" s="1"/>
  <c r="I11" i="2"/>
  <c r="H11" i="2"/>
  <c r="G11" i="2"/>
  <c r="H10" i="2"/>
  <c r="G10" i="2"/>
  <c r="I10" i="2" s="1"/>
  <c r="I9" i="2"/>
  <c r="H9" i="2"/>
  <c r="G9" i="2"/>
  <c r="H8" i="2"/>
  <c r="G8" i="2"/>
  <c r="I8" i="2" s="1"/>
  <c r="H7" i="2"/>
  <c r="I7" i="2" s="1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A3" i="2"/>
  <c r="H2" i="2"/>
  <c r="G2" i="2"/>
  <c r="I2" i="2" s="1"/>
  <c r="A2" i="2"/>
  <c r="A33" i="2" s="1"/>
  <c r="C33" i="1"/>
  <c r="C20" i="1"/>
  <c r="A4" i="2" l="1"/>
  <c r="A5" i="2" s="1"/>
  <c r="A6" i="2"/>
  <c r="A7" i="2" s="1"/>
  <c r="A8" i="2" s="1"/>
  <c r="A9" i="2" s="1"/>
  <c r="A10" i="2" s="1"/>
  <c r="A11" i="2" s="1"/>
  <c r="A12" i="2" s="1"/>
  <c r="A13" i="2" s="1"/>
  <c r="A14" i="2"/>
  <c r="A22" i="2"/>
  <c r="A30" i="2"/>
  <c r="A38" i="2"/>
  <c r="A40" i="2"/>
  <c r="A17" i="2"/>
  <c r="A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<sst xmlns="http://schemas.openxmlformats.org/spreadsheetml/2006/main" count="2092" uniqueCount="341">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</sst>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7" sqref="C7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2024</v>
      </c>
    </row>
    <row r="4" spans="1:3" ht="15.9" customHeight="1" x14ac:dyDescent="0.3">
      <c r="A4" s="1"/>
      <c r="B4" s="5" t="s">
        <v>5</v>
      </c>
      <c r="C4" s="42">
        <v>2035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301295.630859375</v>
      </c>
    </row>
    <row r="8" spans="1:3" ht="15" customHeight="1" x14ac:dyDescent="0.25">
      <c r="B8" s="5" t="s">
        <v>8</v>
      </c>
      <c r="C8" s="44">
        <v>1.4E-2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0.84452529907226603</v>
      </c>
    </row>
    <row r="11" spans="1:3" ht="15" customHeight="1" x14ac:dyDescent="0.25">
      <c r="B11" s="5" t="s">
        <v>11</v>
      </c>
      <c r="C11" s="45">
        <v>0.97599999999999998</v>
      </c>
    </row>
    <row r="12" spans="1:3" ht="15" customHeight="1" x14ac:dyDescent="0.25">
      <c r="B12" s="5" t="s">
        <v>12</v>
      </c>
      <c r="C12" s="45">
        <v>0.77200000000000002</v>
      </c>
    </row>
    <row r="13" spans="1:3" ht="15" customHeight="1" x14ac:dyDescent="0.25">
      <c r="B13" s="5" t="s">
        <v>13</v>
      </c>
      <c r="C13" s="45">
        <v>0.109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0.1542</v>
      </c>
    </row>
    <row r="24" spans="1:3" ht="15" customHeight="1" x14ac:dyDescent="0.25">
      <c r="B24" s="15" t="s">
        <v>22</v>
      </c>
      <c r="C24" s="45">
        <v>0.504</v>
      </c>
    </row>
    <row r="25" spans="1:3" ht="15" customHeight="1" x14ac:dyDescent="0.25">
      <c r="B25" s="15" t="s">
        <v>23</v>
      </c>
      <c r="C25" s="45">
        <v>0.31219999999999998</v>
      </c>
    </row>
    <row r="26" spans="1:3" ht="15" customHeight="1" x14ac:dyDescent="0.25">
      <c r="B26" s="15" t="s">
        <v>24</v>
      </c>
      <c r="C26" s="45">
        <v>2.9600000000000001E-2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0.3567553</v>
      </c>
    </row>
    <row r="30" spans="1:3" ht="14.25" customHeight="1" x14ac:dyDescent="0.25">
      <c r="B30" s="25" t="s">
        <v>27</v>
      </c>
      <c r="C30" s="99">
        <v>6.59106E-2</v>
      </c>
    </row>
    <row r="31" spans="1:3" ht="14.25" customHeight="1" x14ac:dyDescent="0.25">
      <c r="B31" s="25" t="s">
        <v>28</v>
      </c>
      <c r="C31" s="99">
        <v>9.2620400000000006E-2</v>
      </c>
    </row>
    <row r="32" spans="1:3" ht="14.25" customHeight="1" x14ac:dyDescent="0.25">
      <c r="B32" s="25" t="s">
        <v>29</v>
      </c>
      <c r="C32" s="99">
        <v>0.48471370000000003</v>
      </c>
    </row>
    <row r="33" spans="1:5" ht="13" customHeight="1" x14ac:dyDescent="0.25">
      <c r="B33" s="27" t="s">
        <v>30</v>
      </c>
      <c r="C33" s="48">
        <f>SUM(C29:C32)</f>
        <v>1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5.3631900000000003</v>
      </c>
    </row>
    <row r="38" spans="1:5" ht="15" customHeight="1" x14ac:dyDescent="0.25">
      <c r="B38" s="11" t="s">
        <v>34</v>
      </c>
      <c r="C38" s="43">
        <v>6.2443299999999997</v>
      </c>
      <c r="D38" s="12"/>
      <c r="E38" s="13"/>
    </row>
    <row r="39" spans="1:5" ht="15" customHeight="1" x14ac:dyDescent="0.25">
      <c r="B39" s="11" t="s">
        <v>35</v>
      </c>
      <c r="C39" s="43">
        <v>7.6475099999999996</v>
      </c>
      <c r="D39" s="12"/>
      <c r="E39" s="12"/>
    </row>
    <row r="40" spans="1:5" ht="15" customHeight="1" x14ac:dyDescent="0.25">
      <c r="B40" s="11" t="s">
        <v>36</v>
      </c>
      <c r="C40" s="100">
        <v>0.22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4.2240700000000002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7.2145000000000004E-3</v>
      </c>
      <c r="D45" s="12"/>
    </row>
    <row r="46" spans="1:5" ht="15.75" customHeight="1" x14ac:dyDescent="0.25">
      <c r="B46" s="11" t="s">
        <v>41</v>
      </c>
      <c r="C46" s="45">
        <v>7.7518500000000004E-2</v>
      </c>
      <c r="D46" s="12"/>
    </row>
    <row r="47" spans="1:5" ht="15.75" customHeight="1" x14ac:dyDescent="0.25">
      <c r="B47" s="11" t="s">
        <v>42</v>
      </c>
      <c r="C47" s="45">
        <v>7.41401E-2</v>
      </c>
      <c r="D47" s="12"/>
      <c r="E47" s="13"/>
    </row>
    <row r="48" spans="1:5" ht="15" customHeight="1" x14ac:dyDescent="0.25">
      <c r="B48" s="11" t="s">
        <v>43</v>
      </c>
      <c r="C48" s="46">
        <v>0.84112690000000001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3.2</v>
      </c>
      <c r="D51" s="12"/>
    </row>
    <row r="52" spans="1:4" ht="15" customHeight="1" x14ac:dyDescent="0.25">
      <c r="B52" s="11" t="s">
        <v>46</v>
      </c>
      <c r="C52" s="100">
        <v>3.2</v>
      </c>
    </row>
    <row r="53" spans="1:4" ht="15.75" customHeight="1" x14ac:dyDescent="0.25">
      <c r="B53" s="11" t="s">
        <v>47</v>
      </c>
      <c r="C53" s="100">
        <v>3.2</v>
      </c>
    </row>
    <row r="54" spans="1:4" ht="15.75" customHeight="1" x14ac:dyDescent="0.25">
      <c r="B54" s="11" t="s">
        <v>48</v>
      </c>
      <c r="C54" s="100">
        <v>3.2</v>
      </c>
    </row>
    <row r="55" spans="1:4" ht="15.75" customHeight="1" x14ac:dyDescent="0.25">
      <c r="B55" s="11" t="s">
        <v>49</v>
      </c>
      <c r="C55" s="100">
        <v>3.2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1.9375E-2</v>
      </c>
    </row>
    <row r="59" spans="1:4" ht="15.75" customHeight="1" x14ac:dyDescent="0.25">
      <c r="B59" s="11" t="s">
        <v>52</v>
      </c>
      <c r="C59" s="45">
        <v>0.54813400000000001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7.4772848999999905E-2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1" sqref="B11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2024</v>
      </c>
      <c r="B2" s="49">
        <v>65092.705800000011</v>
      </c>
      <c r="C2" s="49">
        <v>177000</v>
      </c>
      <c r="D2" s="49">
        <v>378000</v>
      </c>
      <c r="E2" s="49">
        <v>409000</v>
      </c>
      <c r="F2" s="49">
        <v>357000</v>
      </c>
      <c r="G2" s="17">
        <f t="shared" ref="G2:G13" si="0">C2+D2+E2+F2</f>
        <v>1321000</v>
      </c>
      <c r="H2" s="17">
        <f t="shared" ref="H2:H13" si="1">(B2 + stillbirth*B2/(1000-stillbirth))/(1-abortion)</f>
        <v>74282.759439301139</v>
      </c>
      <c r="I2" s="17">
        <f t="shared" ref="I2:I13" si="2">G2-H2</f>
        <v>1246717.2405606988</v>
      </c>
    </row>
    <row r="3" spans="1:9" ht="15.75" customHeight="1" x14ac:dyDescent="0.25">
      <c r="A3" s="5">
        <f t="shared" ref="A3:A40" si="3">IF($A$2+ROW(A3)-2&lt;=end_year,A2+1,"")</f>
        <v>2025</v>
      </c>
      <c r="B3" s="49">
        <v>64438.406999999999</v>
      </c>
      <c r="C3" s="50">
        <v>177000</v>
      </c>
      <c r="D3" s="50">
        <v>374000</v>
      </c>
      <c r="E3" s="50">
        <v>409000</v>
      </c>
      <c r="F3" s="50">
        <v>365000</v>
      </c>
      <c r="G3" s="17">
        <f t="shared" si="0"/>
        <v>1325000</v>
      </c>
      <c r="H3" s="17">
        <f t="shared" si="1"/>
        <v>73536.084066623298</v>
      </c>
      <c r="I3" s="17">
        <f t="shared" si="2"/>
        <v>1251463.9159333766</v>
      </c>
    </row>
    <row r="4" spans="1:9" ht="15.75" customHeight="1" x14ac:dyDescent="0.25">
      <c r="A4" s="5">
        <f t="shared" si="3"/>
        <v>2026</v>
      </c>
      <c r="B4" s="49">
        <v>63988.183199999999</v>
      </c>
      <c r="C4" s="50">
        <v>177000</v>
      </c>
      <c r="D4" s="50">
        <v>370000</v>
      </c>
      <c r="E4" s="50">
        <v>409000</v>
      </c>
      <c r="F4" s="50">
        <v>373000</v>
      </c>
      <c r="G4" s="17">
        <f t="shared" si="0"/>
        <v>1329000</v>
      </c>
      <c r="H4" s="17">
        <f t="shared" si="1"/>
        <v>73022.295834620687</v>
      </c>
      <c r="I4" s="17">
        <f t="shared" si="2"/>
        <v>1255977.7041653793</v>
      </c>
    </row>
    <row r="5" spans="1:9" ht="15.75" customHeight="1" x14ac:dyDescent="0.25">
      <c r="A5" s="5">
        <f t="shared" si="3"/>
        <v>2027</v>
      </c>
      <c r="B5" s="49">
        <v>63501.413399999998</v>
      </c>
      <c r="C5" s="50">
        <v>176000</v>
      </c>
      <c r="D5" s="50">
        <v>366000</v>
      </c>
      <c r="E5" s="50">
        <v>408000</v>
      </c>
      <c r="F5" s="50">
        <v>380000</v>
      </c>
      <c r="G5" s="17">
        <f t="shared" si="0"/>
        <v>1330000</v>
      </c>
      <c r="H5" s="17">
        <f t="shared" si="1"/>
        <v>72466.801889311129</v>
      </c>
      <c r="I5" s="17">
        <f t="shared" si="2"/>
        <v>1257533.1981106889</v>
      </c>
    </row>
    <row r="6" spans="1:9" ht="15.75" customHeight="1" x14ac:dyDescent="0.25">
      <c r="A6" s="5">
        <f t="shared" si="3"/>
        <v>2028</v>
      </c>
      <c r="B6" s="49">
        <v>62990.892199999987</v>
      </c>
      <c r="C6" s="50">
        <v>174000</v>
      </c>
      <c r="D6" s="50">
        <v>362000</v>
      </c>
      <c r="E6" s="50">
        <v>406000</v>
      </c>
      <c r="F6" s="50">
        <v>387000</v>
      </c>
      <c r="G6" s="17">
        <f t="shared" si="0"/>
        <v>1329000</v>
      </c>
      <c r="H6" s="17">
        <f t="shared" si="1"/>
        <v>71884.203224496305</v>
      </c>
      <c r="I6" s="17">
        <f t="shared" si="2"/>
        <v>1257115.7967755038</v>
      </c>
    </row>
    <row r="7" spans="1:9" ht="15.75" customHeight="1" x14ac:dyDescent="0.25">
      <c r="A7" s="5">
        <f t="shared" si="3"/>
        <v>2029</v>
      </c>
      <c r="B7" s="49">
        <v>62457.133199999989</v>
      </c>
      <c r="C7" s="50">
        <v>173000</v>
      </c>
      <c r="D7" s="50">
        <v>359000</v>
      </c>
      <c r="E7" s="50">
        <v>404000</v>
      </c>
      <c r="F7" s="50">
        <v>392000</v>
      </c>
      <c r="G7" s="17">
        <f t="shared" si="0"/>
        <v>1328000</v>
      </c>
      <c r="H7" s="17">
        <f t="shared" si="1"/>
        <v>71275.085952318594</v>
      </c>
      <c r="I7" s="17">
        <f t="shared" si="2"/>
        <v>1256724.9140476815</v>
      </c>
    </row>
    <row r="8" spans="1:9" ht="15.75" customHeight="1" x14ac:dyDescent="0.25">
      <c r="A8" s="5">
        <f t="shared" si="3"/>
        <v>2030</v>
      </c>
      <c r="B8" s="49">
        <v>61889.225000000013</v>
      </c>
      <c r="C8" s="50">
        <v>172000</v>
      </c>
      <c r="D8" s="50">
        <v>356000</v>
      </c>
      <c r="E8" s="50">
        <v>400000</v>
      </c>
      <c r="F8" s="50">
        <v>397000</v>
      </c>
      <c r="G8" s="17">
        <f t="shared" si="0"/>
        <v>1325000</v>
      </c>
      <c r="H8" s="17">
        <f t="shared" si="1"/>
        <v>70626.998156831614</v>
      </c>
      <c r="I8" s="17">
        <f t="shared" si="2"/>
        <v>1254373.0018431684</v>
      </c>
    </row>
    <row r="9" spans="1:9" ht="15.75" customHeight="1" x14ac:dyDescent="0.25">
      <c r="A9" s="5">
        <f t="shared" si="3"/>
        <v>2031</v>
      </c>
      <c r="B9" s="49">
        <v>61431.584885714292</v>
      </c>
      <c r="C9" s="50">
        <v>171285.71428571429</v>
      </c>
      <c r="D9" s="50">
        <v>352857.14285714278</v>
      </c>
      <c r="E9" s="50">
        <v>398714.28571428568</v>
      </c>
      <c r="F9" s="50">
        <v>402714.28571428568</v>
      </c>
      <c r="G9" s="17">
        <f t="shared" si="0"/>
        <v>1325571.4285714284</v>
      </c>
      <c r="H9" s="17">
        <f t="shared" si="1"/>
        <v>70104.74654505025</v>
      </c>
      <c r="I9" s="17">
        <f t="shared" si="2"/>
        <v>1255466.6820263781</v>
      </c>
    </row>
    <row r="10" spans="1:9" ht="15.75" customHeight="1" x14ac:dyDescent="0.25">
      <c r="A10" s="5">
        <f t="shared" si="3"/>
        <v>2032</v>
      </c>
      <c r="B10" s="49">
        <v>61002.038869387761</v>
      </c>
      <c r="C10" s="50">
        <v>170469.38775510201</v>
      </c>
      <c r="D10" s="50">
        <v>349836.73469387752</v>
      </c>
      <c r="E10" s="50">
        <v>397244.89795918373</v>
      </c>
      <c r="F10" s="50">
        <v>408102.04081632663</v>
      </c>
      <c r="G10" s="17">
        <f t="shared" si="0"/>
        <v>1325653.0612244899</v>
      </c>
      <c r="H10" s="17">
        <f t="shared" si="1"/>
        <v>69614.55547053981</v>
      </c>
      <c r="I10" s="17">
        <f t="shared" si="2"/>
        <v>1256038.5057539502</v>
      </c>
    </row>
    <row r="11" spans="1:9" ht="15.75" customHeight="1" x14ac:dyDescent="0.25">
      <c r="A11" s="5">
        <f t="shared" si="3"/>
        <v>2033</v>
      </c>
      <c r="B11" s="49">
        <v>60575.446822157443</v>
      </c>
      <c r="C11" s="50">
        <v>169536.44314868801</v>
      </c>
      <c r="D11" s="50">
        <v>346956.26822157431</v>
      </c>
      <c r="E11" s="50">
        <v>395565.59766763862</v>
      </c>
      <c r="F11" s="50">
        <v>413116.61807580182</v>
      </c>
      <c r="G11" s="17">
        <f t="shared" si="0"/>
        <v>1325174.9271137028</v>
      </c>
      <c r="H11" s="17">
        <f t="shared" si="1"/>
        <v>69127.735418528246</v>
      </c>
      <c r="I11" s="17">
        <f t="shared" si="2"/>
        <v>1256047.1916951744</v>
      </c>
    </row>
    <row r="12" spans="1:9" ht="15.75" customHeight="1" x14ac:dyDescent="0.25">
      <c r="A12" s="5">
        <f t="shared" si="3"/>
        <v>2034</v>
      </c>
      <c r="B12" s="49">
        <v>60157.451596751373</v>
      </c>
      <c r="C12" s="50">
        <v>168613.0778842149</v>
      </c>
      <c r="D12" s="50">
        <v>344235.73511037062</v>
      </c>
      <c r="E12" s="50">
        <v>393789.25447730121</v>
      </c>
      <c r="F12" s="50">
        <v>417847.56351520208</v>
      </c>
      <c r="G12" s="17">
        <f t="shared" si="0"/>
        <v>1324485.6309870889</v>
      </c>
      <c r="H12" s="17">
        <f t="shared" si="1"/>
        <v>68650.725922702142</v>
      </c>
      <c r="I12" s="17">
        <f t="shared" si="2"/>
        <v>1255834.9050643868</v>
      </c>
    </row>
    <row r="13" spans="1:9" ht="15.75" customHeight="1" x14ac:dyDescent="0.25">
      <c r="A13" s="5">
        <f t="shared" si="3"/>
        <v>2035</v>
      </c>
      <c r="B13" s="49">
        <v>59752.674367715837</v>
      </c>
      <c r="C13" s="50">
        <v>167843.5175819599</v>
      </c>
      <c r="D13" s="50">
        <v>341697.98298328067</v>
      </c>
      <c r="E13" s="50">
        <v>392044.86225977278</v>
      </c>
      <c r="F13" s="50">
        <v>422254.35830308811</v>
      </c>
      <c r="G13" s="17">
        <f t="shared" si="0"/>
        <v>1323840.7211281015</v>
      </c>
      <c r="H13" s="17">
        <f t="shared" si="1"/>
        <v>68188.800593874388</v>
      </c>
      <c r="I13" s="17">
        <f t="shared" si="2"/>
        <v>1255651.920534227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wKxEoWv7nnHIidhOP9O7yQQ4/tikEcXr6gTA2GrtyLYFAb1ix6Ln3irIlHONZ8I1dXNIh1a5t0Hcu3pPb5ZHrw==" saltValue="PZemEz5qyqkMYDJdSEC/K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(2024)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0</v>
      </c>
    </row>
    <row r="4" spans="1:8" ht="15.75" customHeight="1" x14ac:dyDescent="0.25">
      <c r="B4" s="19" t="s">
        <v>69</v>
      </c>
      <c r="C4" s="101">
        <v>2.2469799999999981E-2</v>
      </c>
    </row>
    <row r="5" spans="1:8" ht="15.75" customHeight="1" x14ac:dyDescent="0.25">
      <c r="B5" s="19" t="s">
        <v>70</v>
      </c>
      <c r="C5" s="101">
        <v>2.4460900000000049E-2</v>
      </c>
    </row>
    <row r="6" spans="1:8" ht="15.75" customHeight="1" x14ac:dyDescent="0.25">
      <c r="B6" s="19" t="s">
        <v>71</v>
      </c>
      <c r="C6" s="101">
        <v>0.10187679999999991</v>
      </c>
    </row>
    <row r="7" spans="1:8" ht="15.75" customHeight="1" x14ac:dyDescent="0.25">
      <c r="B7" s="19" t="s">
        <v>72</v>
      </c>
      <c r="C7" s="101">
        <v>0.41340200000000021</v>
      </c>
    </row>
    <row r="8" spans="1:8" ht="15.75" customHeight="1" x14ac:dyDescent="0.25">
      <c r="B8" s="19" t="s">
        <v>73</v>
      </c>
      <c r="C8" s="101">
        <v>0</v>
      </c>
    </row>
    <row r="9" spans="1:8" ht="15.75" customHeight="1" x14ac:dyDescent="0.25">
      <c r="B9" s="19" t="s">
        <v>74</v>
      </c>
      <c r="C9" s="101">
        <v>0.39500150000000001</v>
      </c>
    </row>
    <row r="10" spans="1:8" ht="15.75" customHeight="1" x14ac:dyDescent="0.25">
      <c r="B10" s="19" t="s">
        <v>75</v>
      </c>
      <c r="C10" s="101">
        <v>4.2788999999999952E-2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6.6684069736894405E-2</v>
      </c>
      <c r="D14" s="55">
        <v>6.6684069736894405E-2</v>
      </c>
      <c r="E14" s="55">
        <v>6.6684069736894405E-2</v>
      </c>
      <c r="F14" s="55">
        <v>6.6684069736894405E-2</v>
      </c>
    </row>
    <row r="15" spans="1:8" ht="15.75" customHeight="1" x14ac:dyDescent="0.25">
      <c r="B15" s="19" t="s">
        <v>82</v>
      </c>
      <c r="C15" s="101">
        <v>0.1594063741512792</v>
      </c>
      <c r="D15" s="101">
        <v>0.1594063741512792</v>
      </c>
      <c r="E15" s="101">
        <v>0.1594063741512792</v>
      </c>
      <c r="F15" s="101">
        <v>0.1594063741512792</v>
      </c>
    </row>
    <row r="16" spans="1:8" ht="15.75" customHeight="1" x14ac:dyDescent="0.25">
      <c r="B16" s="19" t="s">
        <v>83</v>
      </c>
      <c r="C16" s="101">
        <v>4.5121886732581648E-2</v>
      </c>
      <c r="D16" s="101">
        <v>4.5121886732581648E-2</v>
      </c>
      <c r="E16" s="101">
        <v>4.5121886732581648E-2</v>
      </c>
      <c r="F16" s="101">
        <v>4.5121886732581648E-2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3.5873226357410631E-3</v>
      </c>
      <c r="D19" s="101">
        <v>3.5873226357410631E-3</v>
      </c>
      <c r="E19" s="101">
        <v>3.5873226357410631E-3</v>
      </c>
      <c r="F19" s="101">
        <v>3.5873226357410631E-3</v>
      </c>
    </row>
    <row r="20" spans="1:8" ht="15.75" customHeight="1" x14ac:dyDescent="0.25">
      <c r="B20" s="19" t="s">
        <v>87</v>
      </c>
      <c r="C20" s="101">
        <v>0.42885433690608749</v>
      </c>
      <c r="D20" s="101">
        <v>0.42885433690608749</v>
      </c>
      <c r="E20" s="101">
        <v>0.42885433690608749</v>
      </c>
      <c r="F20" s="101">
        <v>0.42885433690608749</v>
      </c>
    </row>
    <row r="21" spans="1:8" ht="15.75" customHeight="1" x14ac:dyDescent="0.25">
      <c r="B21" s="19" t="s">
        <v>88</v>
      </c>
      <c r="C21" s="101">
        <v>0.21280453826937559</v>
      </c>
      <c r="D21" s="101">
        <v>0.21280453826937559</v>
      </c>
      <c r="E21" s="101">
        <v>0.21280453826937559</v>
      </c>
      <c r="F21" s="101">
        <v>0.21280453826937559</v>
      </c>
    </row>
    <row r="22" spans="1:8" ht="15.75" customHeight="1" x14ac:dyDescent="0.25">
      <c r="B22" s="19" t="s">
        <v>89</v>
      </c>
      <c r="C22" s="101">
        <v>8.354147156804044E-2</v>
      </c>
      <c r="D22" s="101">
        <v>8.354147156804044E-2</v>
      </c>
      <c r="E22" s="101">
        <v>8.354147156804044E-2</v>
      </c>
      <c r="F22" s="101">
        <v>8.354147156804044E-2</v>
      </c>
    </row>
    <row r="23" spans="1:8" ht="15.75" customHeight="1" x14ac:dyDescent="0.25">
      <c r="B23" s="27" t="s">
        <v>30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4.3847376999999993E-2</v>
      </c>
    </row>
    <row r="27" spans="1:8" ht="15.75" customHeight="1" x14ac:dyDescent="0.25">
      <c r="B27" s="19" t="s">
        <v>92</v>
      </c>
      <c r="C27" s="101">
        <v>3.4044087000000001E-2</v>
      </c>
    </row>
    <row r="28" spans="1:8" ht="15.75" customHeight="1" x14ac:dyDescent="0.25">
      <c r="B28" s="19" t="s">
        <v>93</v>
      </c>
      <c r="C28" s="101">
        <v>4.3283602999999997E-2</v>
      </c>
    </row>
    <row r="29" spans="1:8" ht="15.75" customHeight="1" x14ac:dyDescent="0.25">
      <c r="B29" s="19" t="s">
        <v>94</v>
      </c>
      <c r="C29" s="101">
        <v>0.177569167</v>
      </c>
    </row>
    <row r="30" spans="1:8" ht="15.75" customHeight="1" x14ac:dyDescent="0.25">
      <c r="B30" s="19" t="s">
        <v>95</v>
      </c>
      <c r="C30" s="101">
        <v>3.1893660999999997E-2</v>
      </c>
    </row>
    <row r="31" spans="1:8" ht="15.75" customHeight="1" x14ac:dyDescent="0.25">
      <c r="B31" s="19" t="s">
        <v>96</v>
      </c>
      <c r="C31" s="101">
        <v>9.3503550000000005E-2</v>
      </c>
    </row>
    <row r="32" spans="1:8" ht="15.75" customHeight="1" x14ac:dyDescent="0.25">
      <c r="B32" s="19" t="s">
        <v>97</v>
      </c>
      <c r="C32" s="101">
        <v>7.8392814000000005E-2</v>
      </c>
    </row>
    <row r="33" spans="2:3" ht="15.75" customHeight="1" x14ac:dyDescent="0.25">
      <c r="B33" s="19" t="s">
        <v>98</v>
      </c>
      <c r="C33" s="101">
        <v>0.15751110600000001</v>
      </c>
    </row>
    <row r="34" spans="2:3" ht="15.75" customHeight="1" x14ac:dyDescent="0.25">
      <c r="B34" s="19" t="s">
        <v>99</v>
      </c>
      <c r="C34" s="101">
        <v>0.33995463500000001</v>
      </c>
    </row>
    <row r="35" spans="2:3" ht="15.75" customHeight="1" x14ac:dyDescent="0.25">
      <c r="B35" s="27" t="s">
        <v>30</v>
      </c>
      <c r="C35" s="48">
        <f>SUM(C26:C34)</f>
        <v>1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(2024)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0.93833849674838177</v>
      </c>
      <c r="D2" s="52">
        <f>IFERROR(1-_xlfn.NORM.DIST(_xlfn.NORM.INV(SUM(D4:D5), 0, 1) + 1, 0, 1, TRUE), "")</f>
        <v>0.93833849674838177</v>
      </c>
      <c r="E2" s="52">
        <f>IFERROR(1-_xlfn.NORM.DIST(_xlfn.NORM.INV(SUM(E4:E5), 0, 1) + 1, 0, 1, TRUE), "")</f>
        <v>0.97657306715428949</v>
      </c>
      <c r="F2" s="52">
        <f>IFERROR(1-_xlfn.NORM.DIST(_xlfn.NORM.INV(SUM(F4:F5), 0, 1) + 1, 0, 1, TRUE), "")</f>
        <v>0.76771311952628396</v>
      </c>
      <c r="G2" s="52">
        <f>IFERROR(1-_xlfn.NORM.DIST(_xlfn.NORM.INV(SUM(G4:G5), 0, 1) + 1, 0, 1, TRUE), "")</f>
        <v>0.76772716564738364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5.6134303251618188E-2</v>
      </c>
      <c r="D3" s="52">
        <f>IFERROR(_xlfn.NORM.DIST(_xlfn.NORM.INV(SUM(D4:D5), 0, 1) + 1, 0, 1, TRUE) - SUM(D4:D5), "")</f>
        <v>5.6134303251618188E-2</v>
      </c>
      <c r="E3" s="52">
        <f>IFERROR(_xlfn.NORM.DIST(_xlfn.NORM.INV(SUM(E4:E5), 0, 1) + 1, 0, 1, TRUE) - SUM(E4:E5), "")</f>
        <v>2.2021132845710556E-2</v>
      </c>
      <c r="F3" s="52">
        <f>IFERROR(_xlfn.NORM.DIST(_xlfn.NORM.INV(SUM(F4:F5), 0, 1) + 1, 0, 1, TRUE) - SUM(F4:F5), "")</f>
        <v>0.190590980473716</v>
      </c>
      <c r="G3" s="52">
        <f>IFERROR(_xlfn.NORM.DIST(_xlfn.NORM.INV(SUM(G4:G5), 0, 1) + 1, 0, 1, TRUE) - SUM(G4:G5), "")</f>
        <v>0.19058103435261639</v>
      </c>
    </row>
    <row r="4" spans="1:15" ht="15.75" customHeight="1" x14ac:dyDescent="0.25">
      <c r="B4" s="5" t="s">
        <v>104</v>
      </c>
      <c r="C4" s="45">
        <v>5.5271999999999986E-3</v>
      </c>
      <c r="D4" s="53">
        <v>5.5271999999999986E-3</v>
      </c>
      <c r="E4" s="53">
        <v>0</v>
      </c>
      <c r="F4" s="53">
        <v>3.6424100000000001E-2</v>
      </c>
      <c r="G4" s="53">
        <v>3.7740099999999999E-2</v>
      </c>
    </row>
    <row r="5" spans="1:15" ht="15.75" customHeight="1" x14ac:dyDescent="0.25">
      <c r="B5" s="5" t="s">
        <v>105</v>
      </c>
      <c r="C5" s="45">
        <v>0</v>
      </c>
      <c r="D5" s="53">
        <v>0</v>
      </c>
      <c r="E5" s="53">
        <v>1.4058E-3</v>
      </c>
      <c r="F5" s="53">
        <v>5.2718000000000001E-3</v>
      </c>
      <c r="G5" s="53">
        <v>3.9516999999999998E-3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0.86844675866203558</v>
      </c>
      <c r="D8" s="52">
        <f>IFERROR(1-_xlfn.NORM.DIST(_xlfn.NORM.INV(SUM(D10:D11), 0, 1) + 1, 0, 1, TRUE), "")</f>
        <v>0.86844675866203558</v>
      </c>
      <c r="E8" s="52">
        <f>IFERROR(1-_xlfn.NORM.DIST(_xlfn.NORM.INV(SUM(E10:E11), 0, 1) + 1, 0, 1, TRUE), "")</f>
        <v>0.94854474794398136</v>
      </c>
      <c r="F8" s="52">
        <f>IFERROR(1-_xlfn.NORM.DIST(_xlfn.NORM.INV(SUM(F10:F11), 0, 1) + 1, 0, 1, TRUE), "")</f>
        <v>0.83838136775660943</v>
      </c>
      <c r="G8" s="52">
        <f>IFERROR(1-_xlfn.NORM.DIST(_xlfn.NORM.INV(SUM(G10:G11), 0, 1) + 1, 0, 1, TRUE), "")</f>
        <v>0.85944426429782506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0.1145113413379644</v>
      </c>
      <c r="D9" s="52">
        <f>IFERROR(_xlfn.NORM.DIST(_xlfn.NORM.INV(SUM(D10:D11), 0, 1) + 1, 0, 1, TRUE) - SUM(D10:D11), "")</f>
        <v>0.1145113413379644</v>
      </c>
      <c r="E9" s="52">
        <f>IFERROR(_xlfn.NORM.DIST(_xlfn.NORM.INV(SUM(E10:E11), 0, 1) + 1, 0, 1, TRUE) - SUM(E10:E11), "")</f>
        <v>4.7197352056018639E-2</v>
      </c>
      <c r="F9" s="52">
        <f>IFERROR(_xlfn.NORM.DIST(_xlfn.NORM.INV(SUM(F10:F11), 0, 1) + 1, 0, 1, TRUE) - SUM(F10:F11), "")</f>
        <v>0.13820323224339057</v>
      </c>
      <c r="G9" s="52">
        <f>IFERROR(_xlfn.NORM.DIST(_xlfn.NORM.INV(SUM(G10:G11), 0, 1) + 1, 0, 1, TRUE) - SUM(G10:G11), "")</f>
        <v>0.12169303570217489</v>
      </c>
    </row>
    <row r="10" spans="1:15" ht="15.75" customHeight="1" x14ac:dyDescent="0.25">
      <c r="B10" s="5" t="s">
        <v>109</v>
      </c>
      <c r="C10" s="45">
        <v>1.52268E-2</v>
      </c>
      <c r="D10" s="53">
        <v>1.52268E-2</v>
      </c>
      <c r="E10" s="53">
        <v>4.2579000000000002E-3</v>
      </c>
      <c r="F10" s="53">
        <v>1.9031300000000001E-2</v>
      </c>
      <c r="G10" s="53">
        <v>1.83561E-2</v>
      </c>
    </row>
    <row r="11" spans="1:15" ht="15.75" customHeight="1" x14ac:dyDescent="0.25">
      <c r="B11" s="5" t="s">
        <v>110</v>
      </c>
      <c r="C11" s="45">
        <v>1.8151E-3</v>
      </c>
      <c r="D11" s="53">
        <v>1.8151E-3</v>
      </c>
      <c r="E11" s="53">
        <v>0</v>
      </c>
      <c r="F11" s="53">
        <v>4.3841000000000001E-3</v>
      </c>
      <c r="G11" s="53">
        <v>5.0659999999999995E-4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0.11872693625</v>
      </c>
      <c r="D14" s="54">
        <v>0.10841147821200001</v>
      </c>
      <c r="E14" s="54">
        <v>0.10841147821200001</v>
      </c>
      <c r="F14" s="54">
        <v>0.15067343412</v>
      </c>
      <c r="G14" s="54">
        <v>0.15067343412</v>
      </c>
      <c r="H14" s="45">
        <v>0.247</v>
      </c>
      <c r="I14" s="55">
        <v>0.247</v>
      </c>
      <c r="J14" s="55">
        <v>0.247</v>
      </c>
      <c r="K14" s="55">
        <v>0.247</v>
      </c>
      <c r="L14" s="45">
        <v>0.14599999999999999</v>
      </c>
      <c r="M14" s="55">
        <v>0.14599999999999999</v>
      </c>
      <c r="N14" s="55">
        <v>0.14599999999999999</v>
      </c>
      <c r="O14" s="55">
        <v>0.14599999999999999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6.5078270474457495E-2</v>
      </c>
      <c r="D15" s="52">
        <f t="shared" si="0"/>
        <v>5.9424017198256414E-2</v>
      </c>
      <c r="E15" s="52">
        <f t="shared" si="0"/>
        <v>5.9424017198256414E-2</v>
      </c>
      <c r="F15" s="52">
        <f t="shared" si="0"/>
        <v>8.2589232137932081E-2</v>
      </c>
      <c r="G15" s="52">
        <f t="shared" si="0"/>
        <v>8.2589232137932081E-2</v>
      </c>
      <c r="H15" s="52">
        <f t="shared" si="0"/>
        <v>0.13538909800000001</v>
      </c>
      <c r="I15" s="52">
        <f t="shared" si="0"/>
        <v>0.13538909800000001</v>
      </c>
      <c r="J15" s="52">
        <f t="shared" si="0"/>
        <v>0.13538909800000001</v>
      </c>
      <c r="K15" s="52">
        <f t="shared" si="0"/>
        <v>0.13538909800000001</v>
      </c>
      <c r="L15" s="52">
        <f t="shared" si="0"/>
        <v>8.0027563999999995E-2</v>
      </c>
      <c r="M15" s="52">
        <f t="shared" si="0"/>
        <v>8.0027563999999995E-2</v>
      </c>
      <c r="N15" s="52">
        <f t="shared" si="0"/>
        <v>8.0027563999999995E-2</v>
      </c>
      <c r="O15" s="52">
        <f t="shared" si="0"/>
        <v>8.0027563999999995E-2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(2024)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0.43854949999999998</v>
      </c>
      <c r="D2" s="53">
        <v>0.224714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8.4648000000000001E-2</v>
      </c>
      <c r="D3" s="53">
        <v>0.1454685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0.37770900000000002</v>
      </c>
      <c r="D4" s="53">
        <v>0.45987929999999999</v>
      </c>
      <c r="E4" s="53">
        <v>0.60442529999999994</v>
      </c>
      <c r="F4" s="53">
        <v>0.4598352</v>
      </c>
      <c r="G4" s="53">
        <v>0</v>
      </c>
    </row>
    <row r="5" spans="1:7" x14ac:dyDescent="0.25">
      <c r="B5" s="3" t="s">
        <v>122</v>
      </c>
      <c r="C5" s="52">
        <v>9.9093500000000001E-2</v>
      </c>
      <c r="D5" s="52">
        <v>0.16993820000000001</v>
      </c>
      <c r="E5" s="52">
        <f>1-SUM(E2:E4)</f>
        <v>0.39557470000000006</v>
      </c>
      <c r="F5" s="52">
        <f>1-SUM(F2:F4)</f>
        <v>0.5401648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(2024)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0.59761968593124903</v>
      </c>
      <c r="C2" s="98">
        <v>0.95</v>
      </c>
      <c r="D2" s="56">
        <v>107.0201908947332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40.978199545296739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1182.463810200042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1.727104628102593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14.11049898909264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14.11049898909264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14.11049898909264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14.11049898909264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14.11049898909264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14.11049898909264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0.72617600246982905</v>
      </c>
      <c r="C16" s="98">
        <v>0.95</v>
      </c>
      <c r="D16" s="56">
        <v>1.817264788987992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27.02885669161574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27.02885669161574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0.20890819999999999</v>
      </c>
      <c r="C21" s="98">
        <v>0.95</v>
      </c>
      <c r="D21" s="56">
        <v>17.591217247758362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24.926085555919201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3.2008099999999998E-2</v>
      </c>
      <c r="C23" s="98">
        <v>0.95</v>
      </c>
      <c r="D23" s="56">
        <v>4.9657873780366408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0.86933957623125091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0.57825758418322304</v>
      </c>
      <c r="C27" s="98">
        <v>0.95</v>
      </c>
      <c r="D27" s="56">
        <v>19.66637718058168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0.56282260000000006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225.46212730893359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0.86388676042059953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0.224714</v>
      </c>
      <c r="C32" s="98">
        <v>0.95</v>
      </c>
      <c r="D32" s="56">
        <v>4.0149037192341366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0.98383619999999994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4.8103300000000002E-2</v>
      </c>
      <c r="C38" s="98">
        <v>0.95</v>
      </c>
      <c r="D38" s="56">
        <v>6.1634669588090496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0.75648280000000001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C13" sqref="C13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3.2</v>
      </c>
      <c r="C2" s="21">
        <f>'Baseline year population inputs'!C52</f>
        <v>3.2</v>
      </c>
      <c r="D2" s="21">
        <f>'Baseline year population inputs'!C53</f>
        <v>3.2</v>
      </c>
      <c r="E2" s="21">
        <f>'Baseline year population inputs'!C54</f>
        <v>3.2</v>
      </c>
      <c r="F2" s="21">
        <f>'Baseline year population inputs'!C55</f>
        <v>3.2</v>
      </c>
    </row>
    <row r="3" spans="1:6" ht="15.75" customHeight="1" x14ac:dyDescent="0.25">
      <c r="A3" s="3" t="s">
        <v>204</v>
      </c>
      <c r="B3" s="21">
        <f>frac_mam_1month * 2.6</f>
        <v>3.9589680000000002E-2</v>
      </c>
      <c r="C3" s="21">
        <f>frac_mam_1_5months * 2.6</f>
        <v>3.9589680000000002E-2</v>
      </c>
      <c r="D3" s="21">
        <f>frac_mam_6_11months * 2.6</f>
        <v>1.107054E-2</v>
      </c>
      <c r="E3" s="21">
        <f>frac_mam_12_23months * 2.6</f>
        <v>4.9481380000000005E-2</v>
      </c>
      <c r="F3" s="21">
        <f>frac_mam_24_59months * 2.6</f>
        <v>4.7725860000000002E-2</v>
      </c>
    </row>
    <row r="4" spans="1:6" ht="15.75" customHeight="1" x14ac:dyDescent="0.25">
      <c r="A4" s="3" t="s">
        <v>205</v>
      </c>
      <c r="B4" s="21">
        <f>frac_sam_1month * 2.6</f>
        <v>4.7192600000000003E-3</v>
      </c>
      <c r="C4" s="21">
        <f>frac_sam_1_5months * 2.6</f>
        <v>4.7192600000000003E-3</v>
      </c>
      <c r="D4" s="21">
        <f>frac_sam_6_11months * 2.6</f>
        <v>0</v>
      </c>
      <c r="E4" s="21">
        <f>frac_sam_12_23months * 2.6</f>
        <v>1.1398660000000001E-2</v>
      </c>
      <c r="F4" s="21">
        <f>frac_sam_24_59months * 2.6</f>
        <v>1.3171599999999999E-3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1.4E-2</v>
      </c>
      <c r="E2" s="60">
        <f>food_insecure</f>
        <v>1.4E-2</v>
      </c>
      <c r="F2" s="60">
        <f>food_insecure</f>
        <v>1.4E-2</v>
      </c>
      <c r="G2" s="60">
        <f>food_insecure</f>
        <v>1.4E-2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1.4E-2</v>
      </c>
      <c r="F5" s="60">
        <f>food_insecure</f>
        <v>1.4E-2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6.2E-2</v>
      </c>
      <c r="D7" s="60">
        <f>diarrhoea_1_5mo*frac_diarrhea_severe</f>
        <v>6.2E-2</v>
      </c>
      <c r="E7" s="60">
        <f>diarrhoea_6_11mo*frac_diarrhea_severe</f>
        <v>6.2E-2</v>
      </c>
      <c r="F7" s="60">
        <f>diarrhoea_12_23mo*frac_diarrhea_severe</f>
        <v>6.2E-2</v>
      </c>
      <c r="G7" s="60">
        <f>diarrhoea_24_59mo*frac_diarrhea_severe</f>
        <v>6.2E-2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1.4E-2</v>
      </c>
      <c r="F8" s="60">
        <f>food_insecure</f>
        <v>1.4E-2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1.4E-2</v>
      </c>
      <c r="F9" s="60">
        <f>food_insecure</f>
        <v>1.4E-2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0.77200000000000002</v>
      </c>
      <c r="E10" s="60">
        <f>IF(ISBLANK(comm_deliv), frac_children_health_facility,1)</f>
        <v>0.77200000000000002</v>
      </c>
      <c r="F10" s="60">
        <f>IF(ISBLANK(comm_deliv), frac_children_health_facility,1)</f>
        <v>0.77200000000000002</v>
      </c>
      <c r="G10" s="60">
        <f>IF(ISBLANK(comm_deliv), frac_children_health_facility,1)</f>
        <v>0.77200000000000002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6.2E-2</v>
      </c>
      <c r="D12" s="60">
        <f>diarrhoea_1_5mo*frac_diarrhea_severe</f>
        <v>6.2E-2</v>
      </c>
      <c r="E12" s="60">
        <f>diarrhoea_6_11mo*frac_diarrhea_severe</f>
        <v>6.2E-2</v>
      </c>
      <c r="F12" s="60">
        <f>diarrhoea_12_23mo*frac_diarrhea_severe</f>
        <v>6.2E-2</v>
      </c>
      <c r="G12" s="60">
        <f>diarrhoea_24_59mo*frac_diarrhea_severe</f>
        <v>6.2E-2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1.4E-2</v>
      </c>
      <c r="I15" s="60">
        <f>food_insecure</f>
        <v>1.4E-2</v>
      </c>
      <c r="J15" s="60">
        <f>food_insecure</f>
        <v>1.4E-2</v>
      </c>
      <c r="K15" s="60">
        <f>food_insecure</f>
        <v>1.4E-2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0.97599999999999998</v>
      </c>
      <c r="I18" s="60">
        <f>frac_PW_health_facility</f>
        <v>0.97599999999999998</v>
      </c>
      <c r="J18" s="60">
        <f>frac_PW_health_facility</f>
        <v>0.97599999999999998</v>
      </c>
      <c r="K18" s="60">
        <f>frac_PW_health_facility</f>
        <v>0.97599999999999998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0.109</v>
      </c>
      <c r="M24" s="60">
        <f>famplan_unmet_need</f>
        <v>0.109</v>
      </c>
      <c r="N24" s="60">
        <f>famplan_unmet_need</f>
        <v>0.109</v>
      </c>
      <c r="O24" s="60">
        <f>famplan_unmet_need</f>
        <v>0.109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7.6639699075317175E-2</v>
      </c>
      <c r="M25" s="60">
        <f>(1-food_insecure)*(0.49)+food_insecure*(0.7)</f>
        <v>0.49293999999999993</v>
      </c>
      <c r="N25" s="60">
        <f>(1-food_insecure)*(0.49)+food_insecure*(0.7)</f>
        <v>0.49293999999999993</v>
      </c>
      <c r="O25" s="60">
        <f>(1-food_insecure)*(0.49)+food_insecure*(0.7)</f>
        <v>0.49293999999999993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3.284558531799308E-2</v>
      </c>
      <c r="M26" s="60">
        <f>(1-food_insecure)*(0.21)+food_insecure*(0.3)</f>
        <v>0.21126</v>
      </c>
      <c r="N26" s="60">
        <f>(1-food_insecure)*(0.21)+food_insecure*(0.3)</f>
        <v>0.21126</v>
      </c>
      <c r="O26" s="60">
        <f>(1-food_insecure)*(0.21)+food_insecure*(0.3)</f>
        <v>0.21126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4.5989416534423712E-2</v>
      </c>
      <c r="M27" s="60">
        <f>(1-food_insecure)*(0.3)</f>
        <v>0.29580000000000001</v>
      </c>
      <c r="N27" s="60">
        <f>(1-food_insecure)*(0.3)</f>
        <v>0.29580000000000001</v>
      </c>
      <c r="O27" s="60">
        <f>(1-food_insecure)*(0.3)</f>
        <v>0.29580000000000001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0.84452529907226603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A12" sqref="A12:XFD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D14" sqref="D14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IvQDIxW99fzq1Zy0EhkbKUzL+Oo6JppYFJRusT7f1RK58axANCQbQrXBA4I5Zda1hiQSlfJ6FnKfxlkgJRWRpg==" saltValue="tOfPnYqP3Wy6+yrctBxWkQ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" sqref="D5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v>1.56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v>1.56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v>1.56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v>1.56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v>1.37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v>1.37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v>1.37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v>1.37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v>1.77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v>1.77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riIqDHxQDNIc95k8WEEMlpv2yK5yRhEl3GZr9d21PG7QnhNwxgtjaWmZN+9widROwyhXiwQ4XZiTM/cZ2Cl95g==" saltValue="b1Xx0XPjIcbtdUQJGdoNkQ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31" zoomScale="85" zoomScaleNormal="85" workbookViewId="0">
      <selection activeCell="D53" sqref="D5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53" sqref="D53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D50" sqref="D50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
/ (SUM('Nutritional status distribution'!$E$4:$E$5)/(1-SUM('Nutritional status distribution'!$E$4:$E$5))))</f>
        <v>0.63967581200417001</v>
      </c>
      <c r="F6" s="90">
        <f>IF(ISBLANK('Nutritional status distribution'!$F$4),0.64, (0.64*SUM('Nutritional status distribution'!$F$4:$F$5)/(1-0.64*SUM('Nutritional status distribution'!$F$4:$F$5)))/ (SUM('Nutritional status distribution'!$F$4:$F$5)/(1-SUM('Nutritional status distribution'!$F$4:$F$5))))</f>
        <v>0.63012987668825982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0.87985136364136607</v>
      </c>
      <c r="F7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0.87542919935082664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0.87985136364136607</v>
      </c>
      <c r="F8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0.87542919935082664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distribution'!E$4),0.44, (0.44*SUM('Nutritional status distribution'!E$4:E$5)/(1-0.44*SUM('Nutritional status distribution'!E$4:E$5)))/ (SUM('Nutritional status distribution'!E$4:E$5)/(1-SUM('Nutritional status distribution'!E$4:E$5))))</f>
        <v>0.4396533964877043</v>
      </c>
      <c r="F29" s="90">
        <f>IF(ISBLANK('Nutritional status distribution'!F$4),0.44, (0.44*SUM('Nutritional status distribution'!F$4:F$5)/(1-0.44*SUM('Nutritional status distribution'!F$4:F$5)))/ (SUM('Nutritional status distribution'!F$4:F$5)/(1-SUM('Nutritional status distribution'!F$4:F$5))))</f>
        <v>0.42953412117577855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0.84982054606510982</v>
      </c>
      <c r="F30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0.84448843451934374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0.84982054606510982</v>
      </c>
      <c r="F31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0.84448843451934374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v>1.26</v>
      </c>
      <c r="D35" s="90">
        <v>1.1100000000000001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distribution'!E$4),0.92, (0.92*SUM('Nutritional status distribution'!E$4:E$5)/(1-0.92*SUM('Nutritional status distribution'!E$4:E$5)))/ (SUM('Nutritional status distribution'!E$4:E$5)/(1-SUM('Nutritional status distribution'!E$4:E$5))))</f>
        <v>0.91989639912926424</v>
      </c>
      <c r="F52" s="90">
        <f>IF(ISBLANK('Nutritional status distribution'!F$4),0.92, (0.92*SUM('Nutritional status distribution'!F$4:F$5)/(1-0.92*SUM('Nutritional status distribution'!F$4:F$5)))/ (SUM('Nutritional status distribution'!F$4:F$5)/(1-SUM('Nutritional status distribution'!F$4:F$5))))</f>
        <v>0.91680876526808219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0.90988471750163624</v>
      </c>
      <c r="F53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0.90645042324432323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0.90988471750163624</v>
      </c>
      <c r="F54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0.90645042324432323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v>1.78</v>
      </c>
      <c r="D58" s="90">
        <v>1.74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uxH3qxfpHv3MxEVFpMF959vuuHVMbjUY0YDJlIXIgHOAA25UaRTm/IIjRx7RzEUfWaTP3eP7cZpYIm+m6J8PbA==" saltValue="wm1A0TwV/0DyOIoqtNvf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10" zoomScale="70" zoomScaleNormal="70" workbookViewId="0">
      <selection activeCell="D50" sqref="D50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lEvf/7Nn9p0s2t120JFgJzNA1BIMAO9h8EmTziKGX5ZA7K3Y+rQ77oXfzNqKwsdbYQwCY96ujjsdxuDmqt1luA==" saltValue="pZcegXbvW/wKpwHEQP8p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E35" zoomScale="70" zoomScaleNormal="70" workbookViewId="0">
      <selection activeCell="D50" sqref="D50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0.9</v>
      </c>
      <c r="M10" s="90">
        <v>0.9</v>
      </c>
      <c r="N10" s="90">
        <v>0.9</v>
      </c>
      <c r="O10" s="90">
        <v>0.9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 t="shared" ref="E19:O19" si="0">0.72</f>
        <v>0.72</v>
      </c>
      <c r="F19" s="90">
        <f t="shared" si="0"/>
        <v>0.72</v>
      </c>
      <c r="G19" s="90">
        <f t="shared" si="0"/>
        <v>0.72</v>
      </c>
      <c r="H19" s="90">
        <f t="shared" si="0"/>
        <v>0.72</v>
      </c>
      <c r="I19" s="90">
        <f t="shared" si="0"/>
        <v>0.72</v>
      </c>
      <c r="J19" s="90">
        <f t="shared" si="0"/>
        <v>0.72</v>
      </c>
      <c r="K19" s="90">
        <f t="shared" si="0"/>
        <v>0.72</v>
      </c>
      <c r="L19" s="90">
        <f t="shared" si="0"/>
        <v>0.72</v>
      </c>
      <c r="M19" s="90">
        <f t="shared" si="0"/>
        <v>0.72</v>
      </c>
      <c r="N19" s="90">
        <f t="shared" si="0"/>
        <v>0.72</v>
      </c>
      <c r="O19" s="90">
        <f t="shared" si="0"/>
        <v>0.72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0.8</v>
      </c>
      <c r="F21" s="90">
        <v>0.8</v>
      </c>
      <c r="G21" s="90">
        <v>0.8</v>
      </c>
      <c r="H21" s="90">
        <v>0.8</v>
      </c>
      <c r="I21" s="90">
        <v>0.8</v>
      </c>
      <c r="J21" s="90">
        <v>0.8</v>
      </c>
      <c r="K21" s="90">
        <v>0.8</v>
      </c>
      <c r="L21" s="90">
        <v>0.8</v>
      </c>
      <c r="M21" s="90">
        <v>0.8</v>
      </c>
      <c r="N21" s="90">
        <v>0.8</v>
      </c>
      <c r="O21" s="90">
        <v>0.8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v>0.4</v>
      </c>
      <c r="D26" s="90">
        <v>0.4</v>
      </c>
      <c r="E26" s="90">
        <f t="shared" ref="E26:O26" si="1">IF(E3=1,1,E3*0.9)</f>
        <v>1</v>
      </c>
      <c r="F26" s="90">
        <f t="shared" si="1"/>
        <v>1</v>
      </c>
      <c r="G26" s="90">
        <f t="shared" si="1"/>
        <v>1</v>
      </c>
      <c r="H26" s="90">
        <f t="shared" si="1"/>
        <v>1</v>
      </c>
      <c r="I26" s="90">
        <f t="shared" si="1"/>
        <v>1</v>
      </c>
      <c r="J26" s="90">
        <f t="shared" si="1"/>
        <v>1</v>
      </c>
      <c r="K26" s="90">
        <f t="shared" si="1"/>
        <v>1</v>
      </c>
      <c r="L26" s="90">
        <f t="shared" si="1"/>
        <v>1</v>
      </c>
      <c r="M26" s="90">
        <f t="shared" si="1"/>
        <v>1</v>
      </c>
      <c r="N26" s="90">
        <f t="shared" si="1"/>
        <v>1</v>
      </c>
      <c r="O26" s="90">
        <f t="shared" si="1"/>
        <v>1</v>
      </c>
    </row>
    <row r="27" spans="1:15" x14ac:dyDescent="0.25">
      <c r="B27" s="11" t="s">
        <v>175</v>
      </c>
      <c r="C27" s="90">
        <f t="shared" ref="C27:G33" si="2">IF(C4=1,1,C4*0.9)</f>
        <v>1</v>
      </c>
      <c r="D27" s="90">
        <f t="shared" si="2"/>
        <v>1</v>
      </c>
      <c r="E27" s="90">
        <f t="shared" si="2"/>
        <v>1</v>
      </c>
      <c r="F27" s="90">
        <f t="shared" si="2"/>
        <v>1</v>
      </c>
      <c r="G27" s="90">
        <f t="shared" si="2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3">IF(L4=1,1,L4*0.9)</f>
        <v>1</v>
      </c>
      <c r="M27" s="90">
        <f t="shared" si="3"/>
        <v>1</v>
      </c>
      <c r="N27" s="90">
        <f t="shared" si="3"/>
        <v>1</v>
      </c>
      <c r="O27" s="90">
        <f t="shared" si="3"/>
        <v>1</v>
      </c>
    </row>
    <row r="28" spans="1:15" x14ac:dyDescent="0.25">
      <c r="B28" s="11" t="s">
        <v>176</v>
      </c>
      <c r="C28" s="90">
        <f t="shared" si="2"/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3"/>
        <v>1</v>
      </c>
      <c r="M28" s="90">
        <f t="shared" si="3"/>
        <v>1</v>
      </c>
      <c r="N28" s="90">
        <f t="shared" si="3"/>
        <v>1</v>
      </c>
      <c r="O28" s="90">
        <f t="shared" si="3"/>
        <v>1</v>
      </c>
    </row>
    <row r="29" spans="1:15" x14ac:dyDescent="0.25">
      <c r="B29" s="11" t="s">
        <v>177</v>
      </c>
      <c r="C29" s="90">
        <f t="shared" si="2"/>
        <v>1</v>
      </c>
      <c r="D29" s="90">
        <f t="shared" si="2"/>
        <v>1</v>
      </c>
      <c r="E29" s="90">
        <f t="shared" si="2"/>
        <v>1</v>
      </c>
      <c r="F29" s="90">
        <f t="shared" si="2"/>
        <v>1</v>
      </c>
      <c r="G29" s="90">
        <f t="shared" si="2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si="2"/>
        <v>1</v>
      </c>
      <c r="D30" s="90">
        <f t="shared" si="2"/>
        <v>1</v>
      </c>
      <c r="E30" s="90">
        <f t="shared" si="2"/>
        <v>1</v>
      </c>
      <c r="F30" s="90">
        <f t="shared" si="2"/>
        <v>1</v>
      </c>
      <c r="G30" s="90">
        <f t="shared" si="2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3"/>
        <v>1</v>
      </c>
      <c r="M30" s="90">
        <f t="shared" si="3"/>
        <v>1</v>
      </c>
      <c r="N30" s="90">
        <f t="shared" si="3"/>
        <v>1</v>
      </c>
      <c r="O30" s="90">
        <f t="shared" si="3"/>
        <v>1</v>
      </c>
    </row>
    <row r="31" spans="1:15" x14ac:dyDescent="0.25">
      <c r="B31" s="5" t="s">
        <v>179</v>
      </c>
      <c r="C31" s="90">
        <f t="shared" si="2"/>
        <v>1</v>
      </c>
      <c r="D31" s="90">
        <f t="shared" si="2"/>
        <v>1</v>
      </c>
      <c r="E31" s="90">
        <f t="shared" si="2"/>
        <v>1</v>
      </c>
      <c r="F31" s="90">
        <f t="shared" si="2"/>
        <v>1</v>
      </c>
      <c r="G31" s="90">
        <f t="shared" si="2"/>
        <v>1</v>
      </c>
      <c r="H31" s="90">
        <f t="shared" ref="H31:K34" si="4">IF(H8=1,1,H8*0.9)</f>
        <v>1</v>
      </c>
      <c r="I31" s="90">
        <f t="shared" si="4"/>
        <v>1</v>
      </c>
      <c r="J31" s="90">
        <f t="shared" si="4"/>
        <v>1</v>
      </c>
      <c r="K31" s="90">
        <f t="shared" si="4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180</v>
      </c>
      <c r="C32" s="90">
        <f t="shared" si="2"/>
        <v>1</v>
      </c>
      <c r="D32" s="90">
        <f t="shared" si="2"/>
        <v>1</v>
      </c>
      <c r="E32" s="90">
        <f t="shared" si="2"/>
        <v>1</v>
      </c>
      <c r="F32" s="90">
        <f t="shared" si="2"/>
        <v>1</v>
      </c>
      <c r="G32" s="90">
        <f t="shared" si="2"/>
        <v>1</v>
      </c>
      <c r="H32" s="90">
        <f t="shared" si="4"/>
        <v>1</v>
      </c>
      <c r="I32" s="90">
        <f t="shared" si="4"/>
        <v>1</v>
      </c>
      <c r="J32" s="90">
        <f t="shared" si="4"/>
        <v>1</v>
      </c>
      <c r="K32" s="90">
        <f t="shared" si="4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181</v>
      </c>
      <c r="C33" s="90">
        <f t="shared" si="2"/>
        <v>1</v>
      </c>
      <c r="D33" s="90">
        <f t="shared" si="2"/>
        <v>1</v>
      </c>
      <c r="E33" s="90">
        <f t="shared" si="2"/>
        <v>1</v>
      </c>
      <c r="F33" s="90">
        <f t="shared" si="2"/>
        <v>1</v>
      </c>
      <c r="G33" s="90">
        <f t="shared" si="2"/>
        <v>1</v>
      </c>
      <c r="H33" s="90">
        <f t="shared" si="4"/>
        <v>1</v>
      </c>
      <c r="I33" s="90">
        <f t="shared" si="4"/>
        <v>1</v>
      </c>
      <c r="J33" s="90">
        <f t="shared" si="4"/>
        <v>1</v>
      </c>
      <c r="K33" s="90">
        <f t="shared" si="4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4"/>
        <v>1</v>
      </c>
      <c r="I34" s="90">
        <f t="shared" si="4"/>
        <v>1</v>
      </c>
      <c r="J34" s="90">
        <f t="shared" si="4"/>
        <v>1</v>
      </c>
      <c r="K34" s="90">
        <f t="shared" si="4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188</v>
      </c>
      <c r="C36" s="90">
        <f t="shared" ref="C36:D38" si="5">IF(C13=1,1,C13*0.9)</f>
        <v>1</v>
      </c>
      <c r="D36" s="90">
        <f t="shared" si="5"/>
        <v>1</v>
      </c>
      <c r="E36" s="90">
        <v>0.62</v>
      </c>
      <c r="F36" s="90">
        <v>0.62</v>
      </c>
      <c r="G36" s="90">
        <v>0.62</v>
      </c>
      <c r="H36" s="90">
        <f t="shared" ref="H36:O36" si="6">IF(H13=1,1,H13*0.9)</f>
        <v>1</v>
      </c>
      <c r="I36" s="90">
        <f t="shared" si="6"/>
        <v>1</v>
      </c>
      <c r="J36" s="90">
        <f t="shared" si="6"/>
        <v>1</v>
      </c>
      <c r="K36" s="90">
        <f t="shared" si="6"/>
        <v>1</v>
      </c>
      <c r="L36" s="90">
        <f t="shared" si="6"/>
        <v>1</v>
      </c>
      <c r="M36" s="90">
        <f t="shared" si="6"/>
        <v>1</v>
      </c>
      <c r="N36" s="90">
        <f t="shared" si="6"/>
        <v>1</v>
      </c>
      <c r="O36" s="90">
        <f t="shared" si="6"/>
        <v>1</v>
      </c>
    </row>
    <row r="37" spans="1:15" x14ac:dyDescent="0.25">
      <c r="B37" s="11" t="s">
        <v>189</v>
      </c>
      <c r="C37" s="90">
        <f t="shared" si="5"/>
        <v>1</v>
      </c>
      <c r="D37" s="90">
        <f t="shared" si="5"/>
        <v>1</v>
      </c>
      <c r="E37" s="90">
        <f t="shared" ref="E37:K37" si="7">IF(E14=1,1,E14*0.9)</f>
        <v>1</v>
      </c>
      <c r="F37" s="90">
        <f t="shared" si="7"/>
        <v>1</v>
      </c>
      <c r="G37" s="90">
        <f t="shared" si="7"/>
        <v>1</v>
      </c>
      <c r="H37" s="90">
        <f t="shared" si="7"/>
        <v>1</v>
      </c>
      <c r="I37" s="90">
        <f t="shared" si="7"/>
        <v>1</v>
      </c>
      <c r="J37" s="90">
        <f t="shared" si="7"/>
        <v>1</v>
      </c>
      <c r="K37" s="90">
        <f t="shared" si="7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192</v>
      </c>
      <c r="C38" s="90">
        <f t="shared" si="5"/>
        <v>1</v>
      </c>
      <c r="D38" s="90">
        <f t="shared" si="5"/>
        <v>1</v>
      </c>
      <c r="E38" s="90">
        <v>0.3</v>
      </c>
      <c r="F38" s="90">
        <v>0.3</v>
      </c>
      <c r="G38" s="90">
        <f t="shared" ref="G38:O38" si="8">IF(G15=1,1,G15*0.9)</f>
        <v>1</v>
      </c>
      <c r="H38" s="90">
        <f t="shared" si="8"/>
        <v>1</v>
      </c>
      <c r="I38" s="90">
        <f t="shared" si="8"/>
        <v>1</v>
      </c>
      <c r="J38" s="90">
        <f t="shared" si="8"/>
        <v>1</v>
      </c>
      <c r="K38" s="90">
        <f t="shared" si="8"/>
        <v>1</v>
      </c>
      <c r="L38" s="90">
        <f t="shared" si="8"/>
        <v>1</v>
      </c>
      <c r="M38" s="90">
        <f t="shared" si="8"/>
        <v>1</v>
      </c>
      <c r="N38" s="90">
        <f t="shared" si="8"/>
        <v>1</v>
      </c>
      <c r="O38" s="90">
        <f t="shared" si="8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9">IF(C18=1,1,C18*0.9)</f>
        <v>1</v>
      </c>
      <c r="D41" s="90">
        <f t="shared" si="9"/>
        <v>1</v>
      </c>
      <c r="E41" s="90">
        <f t="shared" si="9"/>
        <v>1</v>
      </c>
      <c r="F41" s="90">
        <f t="shared" si="9"/>
        <v>1</v>
      </c>
      <c r="G41" s="90">
        <f t="shared" si="9"/>
        <v>1</v>
      </c>
      <c r="H41" s="90">
        <f t="shared" si="9"/>
        <v>1</v>
      </c>
      <c r="I41" s="90">
        <f t="shared" si="9"/>
        <v>1</v>
      </c>
      <c r="J41" s="90">
        <f t="shared" si="9"/>
        <v>1</v>
      </c>
      <c r="K41" s="90">
        <f t="shared" si="9"/>
        <v>1</v>
      </c>
      <c r="L41" s="90">
        <f t="shared" si="9"/>
        <v>1</v>
      </c>
      <c r="M41" s="90">
        <f t="shared" si="9"/>
        <v>1</v>
      </c>
      <c r="N41" s="90">
        <f t="shared" si="9"/>
        <v>1</v>
      </c>
      <c r="O41" s="90">
        <f t="shared" si="9"/>
        <v>1</v>
      </c>
    </row>
    <row r="42" spans="1:15" x14ac:dyDescent="0.25">
      <c r="B42" s="5" t="s">
        <v>173</v>
      </c>
      <c r="C42" s="90">
        <f t="shared" ref="C42:D44" si="10">IF(C19=1,1,C19*0.9)</f>
        <v>1</v>
      </c>
      <c r="D42" s="90">
        <f t="shared" si="10"/>
        <v>1</v>
      </c>
      <c r="E42" s="90">
        <v>0.54</v>
      </c>
      <c r="F42" s="90">
        <v>0.54</v>
      </c>
      <c r="G42" s="90">
        <v>0.54</v>
      </c>
      <c r="H42" s="90">
        <v>0.54</v>
      </c>
      <c r="I42" s="90">
        <v>0.54</v>
      </c>
      <c r="J42" s="90">
        <v>0.54</v>
      </c>
      <c r="K42" s="90">
        <v>0.54</v>
      </c>
      <c r="L42" s="90">
        <v>0.54</v>
      </c>
      <c r="M42" s="90">
        <v>0.54</v>
      </c>
      <c r="N42" s="90">
        <v>0.54</v>
      </c>
      <c r="O42" s="90">
        <v>0.54</v>
      </c>
    </row>
    <row r="43" spans="1:15" x14ac:dyDescent="0.25">
      <c r="B43" s="5" t="s">
        <v>174</v>
      </c>
      <c r="C43" s="90">
        <f t="shared" si="10"/>
        <v>1</v>
      </c>
      <c r="D43" s="90">
        <f t="shared" si="10"/>
        <v>1</v>
      </c>
      <c r="E43" s="90">
        <f t="shared" ref="E43:O43" si="11">IF(E20=1,1,E20*0.9)</f>
        <v>1</v>
      </c>
      <c r="F43" s="90">
        <f t="shared" si="11"/>
        <v>1</v>
      </c>
      <c r="G43" s="90">
        <f t="shared" si="11"/>
        <v>1</v>
      </c>
      <c r="H43" s="90">
        <f t="shared" si="11"/>
        <v>1</v>
      </c>
      <c r="I43" s="90">
        <f t="shared" si="11"/>
        <v>1</v>
      </c>
      <c r="J43" s="90">
        <f t="shared" si="11"/>
        <v>1</v>
      </c>
      <c r="K43" s="90">
        <f t="shared" si="11"/>
        <v>1</v>
      </c>
      <c r="L43" s="90">
        <f t="shared" si="11"/>
        <v>1</v>
      </c>
      <c r="M43" s="90">
        <f t="shared" si="11"/>
        <v>1</v>
      </c>
      <c r="N43" s="90">
        <f t="shared" si="11"/>
        <v>1</v>
      </c>
      <c r="O43" s="90">
        <f t="shared" si="11"/>
        <v>1</v>
      </c>
    </row>
    <row r="44" spans="1:15" x14ac:dyDescent="0.25">
      <c r="B44" s="5" t="s">
        <v>182</v>
      </c>
      <c r="C44" s="90">
        <f t="shared" si="10"/>
        <v>1</v>
      </c>
      <c r="D44" s="90">
        <f t="shared" si="10"/>
        <v>1</v>
      </c>
      <c r="E44" s="90">
        <v>0.7</v>
      </c>
      <c r="F44" s="90">
        <v>0.7</v>
      </c>
      <c r="G44" s="90">
        <v>0.7</v>
      </c>
      <c r="H44" s="90">
        <v>0.7</v>
      </c>
      <c r="I44" s="90">
        <v>0.7</v>
      </c>
      <c r="J44" s="90">
        <v>0.7</v>
      </c>
      <c r="K44" s="90">
        <v>0.7</v>
      </c>
      <c r="L44" s="90">
        <v>0.7</v>
      </c>
      <c r="M44" s="90">
        <v>0.7</v>
      </c>
      <c r="N44" s="90">
        <v>0.7</v>
      </c>
      <c r="O44" s="90">
        <v>0.7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v>0.7</v>
      </c>
      <c r="D49" s="90">
        <v>0.7</v>
      </c>
      <c r="E49" s="90">
        <f t="shared" ref="E49:O49" si="12">IF(E3=1,1,E3*1.05)</f>
        <v>1</v>
      </c>
      <c r="F49" s="90">
        <f t="shared" si="12"/>
        <v>1</v>
      </c>
      <c r="G49" s="90">
        <f t="shared" si="12"/>
        <v>1</v>
      </c>
      <c r="H49" s="90">
        <f t="shared" si="12"/>
        <v>1</v>
      </c>
      <c r="I49" s="90">
        <f t="shared" si="12"/>
        <v>1</v>
      </c>
      <c r="J49" s="90">
        <f t="shared" si="12"/>
        <v>1</v>
      </c>
      <c r="K49" s="90">
        <f t="shared" si="12"/>
        <v>1</v>
      </c>
      <c r="L49" s="90">
        <f t="shared" si="12"/>
        <v>1</v>
      </c>
      <c r="M49" s="90">
        <f t="shared" si="12"/>
        <v>1</v>
      </c>
      <c r="N49" s="90">
        <f t="shared" si="12"/>
        <v>1</v>
      </c>
      <c r="O49" s="90">
        <f t="shared" si="12"/>
        <v>1</v>
      </c>
    </row>
    <row r="50" spans="1:15" x14ac:dyDescent="0.25">
      <c r="B50" s="11" t="s">
        <v>175</v>
      </c>
      <c r="C50" s="90">
        <f t="shared" ref="C50:G56" si="13">IF(C4=1,1,C4*1.05)</f>
        <v>1</v>
      </c>
      <c r="D50" s="90">
        <f t="shared" si="13"/>
        <v>1</v>
      </c>
      <c r="E50" s="90">
        <f t="shared" si="13"/>
        <v>1</v>
      </c>
      <c r="F50" s="90">
        <f t="shared" si="13"/>
        <v>1</v>
      </c>
      <c r="G50" s="90">
        <f t="shared" si="13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4">IF(L4=1,1,L4*1.05)</f>
        <v>1</v>
      </c>
      <c r="M50" s="90">
        <f t="shared" si="14"/>
        <v>1</v>
      </c>
      <c r="N50" s="90">
        <f t="shared" si="14"/>
        <v>1</v>
      </c>
      <c r="O50" s="90">
        <f t="shared" si="14"/>
        <v>1</v>
      </c>
    </row>
    <row r="51" spans="1:15" x14ac:dyDescent="0.25">
      <c r="B51" s="11" t="s">
        <v>176</v>
      </c>
      <c r="C51" s="90">
        <f t="shared" si="13"/>
        <v>1</v>
      </c>
      <c r="D51" s="90">
        <f t="shared" si="13"/>
        <v>1</v>
      </c>
      <c r="E51" s="90">
        <f t="shared" si="13"/>
        <v>1</v>
      </c>
      <c r="F51" s="90">
        <f t="shared" si="13"/>
        <v>1</v>
      </c>
      <c r="G51" s="90">
        <f t="shared" si="13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4"/>
        <v>1</v>
      </c>
      <c r="M51" s="90">
        <f t="shared" si="14"/>
        <v>1</v>
      </c>
      <c r="N51" s="90">
        <f t="shared" si="14"/>
        <v>1</v>
      </c>
      <c r="O51" s="90">
        <f t="shared" si="14"/>
        <v>1</v>
      </c>
    </row>
    <row r="52" spans="1:15" x14ac:dyDescent="0.25">
      <c r="B52" s="11" t="s">
        <v>177</v>
      </c>
      <c r="C52" s="90">
        <f t="shared" si="13"/>
        <v>1</v>
      </c>
      <c r="D52" s="90">
        <f t="shared" si="13"/>
        <v>1</v>
      </c>
      <c r="E52" s="90">
        <f t="shared" si="13"/>
        <v>1</v>
      </c>
      <c r="F52" s="90">
        <f t="shared" si="13"/>
        <v>1</v>
      </c>
      <c r="G52" s="90">
        <f t="shared" si="13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4"/>
        <v>1</v>
      </c>
      <c r="M52" s="90">
        <f t="shared" si="14"/>
        <v>1</v>
      </c>
      <c r="N52" s="90">
        <f t="shared" si="14"/>
        <v>1</v>
      </c>
      <c r="O52" s="90">
        <f t="shared" si="14"/>
        <v>1</v>
      </c>
    </row>
    <row r="53" spans="1:15" x14ac:dyDescent="0.25">
      <c r="B53" s="11" t="s">
        <v>178</v>
      </c>
      <c r="C53" s="90">
        <f t="shared" si="13"/>
        <v>1</v>
      </c>
      <c r="D53" s="90">
        <f t="shared" si="13"/>
        <v>1</v>
      </c>
      <c r="E53" s="90">
        <f t="shared" si="13"/>
        <v>1</v>
      </c>
      <c r="F53" s="90">
        <f t="shared" si="13"/>
        <v>1</v>
      </c>
      <c r="G53" s="90">
        <f t="shared" si="13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4"/>
        <v>1</v>
      </c>
      <c r="M53" s="90">
        <f t="shared" si="14"/>
        <v>1</v>
      </c>
      <c r="N53" s="90">
        <f t="shared" si="14"/>
        <v>1</v>
      </c>
      <c r="O53" s="90">
        <f t="shared" si="14"/>
        <v>1</v>
      </c>
    </row>
    <row r="54" spans="1:15" x14ac:dyDescent="0.25">
      <c r="B54" s="5" t="s">
        <v>179</v>
      </c>
      <c r="C54" s="90">
        <f t="shared" si="13"/>
        <v>1</v>
      </c>
      <c r="D54" s="90">
        <f t="shared" si="13"/>
        <v>1</v>
      </c>
      <c r="E54" s="90">
        <f t="shared" si="13"/>
        <v>1</v>
      </c>
      <c r="F54" s="90">
        <f t="shared" si="13"/>
        <v>1</v>
      </c>
      <c r="G54" s="90">
        <f t="shared" si="13"/>
        <v>1</v>
      </c>
      <c r="H54" s="90">
        <f t="shared" ref="H54:K57" si="15">IF(H8=1,1,H8*1.05)</f>
        <v>1</v>
      </c>
      <c r="I54" s="90">
        <f t="shared" si="15"/>
        <v>1</v>
      </c>
      <c r="J54" s="90">
        <f t="shared" si="15"/>
        <v>1</v>
      </c>
      <c r="K54" s="90">
        <f t="shared" si="15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180</v>
      </c>
      <c r="C55" s="90">
        <f t="shared" si="13"/>
        <v>1</v>
      </c>
      <c r="D55" s="90">
        <f t="shared" si="13"/>
        <v>1</v>
      </c>
      <c r="E55" s="90">
        <f t="shared" si="13"/>
        <v>1</v>
      </c>
      <c r="F55" s="90">
        <f t="shared" si="13"/>
        <v>1</v>
      </c>
      <c r="G55" s="90">
        <f t="shared" si="13"/>
        <v>1</v>
      </c>
      <c r="H55" s="90">
        <f t="shared" si="15"/>
        <v>1</v>
      </c>
      <c r="I55" s="90">
        <f t="shared" si="15"/>
        <v>1</v>
      </c>
      <c r="J55" s="90">
        <f t="shared" si="15"/>
        <v>1</v>
      </c>
      <c r="K55" s="90">
        <f t="shared" si="15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181</v>
      </c>
      <c r="C56" s="90">
        <f t="shared" si="13"/>
        <v>1</v>
      </c>
      <c r="D56" s="90">
        <f t="shared" si="13"/>
        <v>1</v>
      </c>
      <c r="E56" s="90">
        <f t="shared" si="13"/>
        <v>1</v>
      </c>
      <c r="F56" s="90">
        <f t="shared" si="13"/>
        <v>1</v>
      </c>
      <c r="G56" s="90">
        <f t="shared" si="13"/>
        <v>1</v>
      </c>
      <c r="H56" s="90">
        <f t="shared" si="15"/>
        <v>1</v>
      </c>
      <c r="I56" s="90">
        <f t="shared" si="15"/>
        <v>1</v>
      </c>
      <c r="J56" s="90">
        <f t="shared" si="15"/>
        <v>1</v>
      </c>
      <c r="K56" s="90">
        <f t="shared" si="15"/>
        <v>1</v>
      </c>
      <c r="L56" s="90">
        <v>0.95</v>
      </c>
      <c r="M56" s="90">
        <v>0.95</v>
      </c>
      <c r="N56" s="90">
        <v>0.95</v>
      </c>
      <c r="O56" s="90">
        <v>0.95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5"/>
        <v>1</v>
      </c>
      <c r="I57" s="90">
        <f t="shared" si="15"/>
        <v>1</v>
      </c>
      <c r="J57" s="90">
        <f t="shared" si="15"/>
        <v>1</v>
      </c>
      <c r="K57" s="90">
        <f t="shared" si="15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188</v>
      </c>
      <c r="C59" s="90">
        <f t="shared" ref="C59:D61" si="16">IF(C13=1,1,C13*1.05)</f>
        <v>1</v>
      </c>
      <c r="D59" s="90">
        <f t="shared" si="16"/>
        <v>1</v>
      </c>
      <c r="E59" s="90">
        <v>0.77</v>
      </c>
      <c r="F59" s="90">
        <v>0.77</v>
      </c>
      <c r="G59" s="90">
        <v>0.77</v>
      </c>
      <c r="H59" s="90">
        <f t="shared" ref="H59:O59" si="17">IF(H13=1,1,H13*1.05)</f>
        <v>1</v>
      </c>
      <c r="I59" s="90">
        <f t="shared" si="17"/>
        <v>1</v>
      </c>
      <c r="J59" s="90">
        <f t="shared" si="17"/>
        <v>1</v>
      </c>
      <c r="K59" s="90">
        <f t="shared" si="17"/>
        <v>1</v>
      </c>
      <c r="L59" s="90">
        <f t="shared" si="17"/>
        <v>1</v>
      </c>
      <c r="M59" s="90">
        <f t="shared" si="17"/>
        <v>1</v>
      </c>
      <c r="N59" s="90">
        <f t="shared" si="17"/>
        <v>1</v>
      </c>
      <c r="O59" s="90">
        <f t="shared" si="17"/>
        <v>1</v>
      </c>
    </row>
    <row r="60" spans="1:15" x14ac:dyDescent="0.25">
      <c r="B60" s="11" t="s">
        <v>189</v>
      </c>
      <c r="C60" s="90">
        <f t="shared" si="16"/>
        <v>1</v>
      </c>
      <c r="D60" s="90">
        <f t="shared" si="16"/>
        <v>1</v>
      </c>
      <c r="E60" s="90">
        <f t="shared" ref="E60:K60" si="18">IF(E14=1,1,E14*1.05)</f>
        <v>1</v>
      </c>
      <c r="F60" s="90">
        <f t="shared" si="18"/>
        <v>1</v>
      </c>
      <c r="G60" s="90">
        <f t="shared" si="18"/>
        <v>1</v>
      </c>
      <c r="H60" s="90">
        <f t="shared" si="18"/>
        <v>1</v>
      </c>
      <c r="I60" s="90">
        <f t="shared" si="18"/>
        <v>1</v>
      </c>
      <c r="J60" s="90">
        <f t="shared" si="18"/>
        <v>1</v>
      </c>
      <c r="K60" s="90">
        <f t="shared" si="18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192</v>
      </c>
      <c r="C61" s="90">
        <f t="shared" si="16"/>
        <v>1</v>
      </c>
      <c r="D61" s="90">
        <f t="shared" si="16"/>
        <v>1</v>
      </c>
      <c r="E61" s="90">
        <v>0.44</v>
      </c>
      <c r="F61" s="90">
        <v>0.44</v>
      </c>
      <c r="G61" s="90">
        <f t="shared" ref="G61:O61" si="19">IF(G15=1,1,G15*1.05)</f>
        <v>1</v>
      </c>
      <c r="H61" s="90">
        <f t="shared" si="19"/>
        <v>1</v>
      </c>
      <c r="I61" s="90">
        <f t="shared" si="19"/>
        <v>1</v>
      </c>
      <c r="J61" s="90">
        <f t="shared" si="19"/>
        <v>1</v>
      </c>
      <c r="K61" s="90">
        <f t="shared" si="19"/>
        <v>1</v>
      </c>
      <c r="L61" s="90">
        <f t="shared" si="19"/>
        <v>1</v>
      </c>
      <c r="M61" s="90">
        <f t="shared" si="19"/>
        <v>1</v>
      </c>
      <c r="N61" s="90">
        <f t="shared" si="19"/>
        <v>1</v>
      </c>
      <c r="O61" s="90">
        <f t="shared" si="19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0">IF(C18=1,1,C18*1.05)</f>
        <v>1</v>
      </c>
      <c r="D64" s="90">
        <f t="shared" si="20"/>
        <v>1</v>
      </c>
      <c r="E64" s="90">
        <f t="shared" si="20"/>
        <v>1</v>
      </c>
      <c r="F64" s="90">
        <f t="shared" si="20"/>
        <v>1</v>
      </c>
      <c r="G64" s="90">
        <f t="shared" si="20"/>
        <v>1</v>
      </c>
      <c r="H64" s="90">
        <f t="shared" si="20"/>
        <v>1</v>
      </c>
      <c r="I64" s="90">
        <f t="shared" si="20"/>
        <v>1</v>
      </c>
      <c r="J64" s="90">
        <f t="shared" si="20"/>
        <v>1</v>
      </c>
      <c r="K64" s="90">
        <f t="shared" si="20"/>
        <v>1</v>
      </c>
      <c r="L64" s="90">
        <f t="shared" si="20"/>
        <v>1</v>
      </c>
      <c r="M64" s="90">
        <f t="shared" si="20"/>
        <v>1</v>
      </c>
      <c r="N64" s="90">
        <f t="shared" si="20"/>
        <v>1</v>
      </c>
      <c r="O64" s="90">
        <f t="shared" si="20"/>
        <v>1</v>
      </c>
    </row>
    <row r="65" spans="2:15" x14ac:dyDescent="0.25">
      <c r="B65" s="5" t="s">
        <v>173</v>
      </c>
      <c r="C65" s="90">
        <f t="shared" ref="C65:D67" si="21">IF(C19=1,1,C19*1.05)</f>
        <v>1</v>
      </c>
      <c r="D65" s="90">
        <f t="shared" si="21"/>
        <v>1</v>
      </c>
      <c r="E65" s="90">
        <v>0.97</v>
      </c>
      <c r="F65" s="90">
        <v>0.97</v>
      </c>
      <c r="G65" s="90">
        <v>0.97</v>
      </c>
      <c r="H65" s="90">
        <v>0.97</v>
      </c>
      <c r="I65" s="90">
        <v>0.97</v>
      </c>
      <c r="J65" s="90">
        <v>0.97</v>
      </c>
      <c r="K65" s="90">
        <v>0.97</v>
      </c>
      <c r="L65" s="90">
        <v>0.97</v>
      </c>
      <c r="M65" s="90">
        <v>0.97</v>
      </c>
      <c r="N65" s="90">
        <v>0.97</v>
      </c>
      <c r="O65" s="90">
        <v>0.97</v>
      </c>
    </row>
    <row r="66" spans="2:15" x14ac:dyDescent="0.25">
      <c r="B66" s="5" t="s">
        <v>174</v>
      </c>
      <c r="C66" s="90">
        <f t="shared" si="21"/>
        <v>1</v>
      </c>
      <c r="D66" s="90">
        <f t="shared" si="21"/>
        <v>1</v>
      </c>
      <c r="E66" s="90">
        <f t="shared" ref="E66:O66" si="22">IF(E20=1,1,E20*1.05)</f>
        <v>1</v>
      </c>
      <c r="F66" s="90">
        <f t="shared" si="22"/>
        <v>1</v>
      </c>
      <c r="G66" s="90">
        <f t="shared" si="22"/>
        <v>1</v>
      </c>
      <c r="H66" s="90">
        <f t="shared" si="22"/>
        <v>1</v>
      </c>
      <c r="I66" s="90">
        <f t="shared" si="22"/>
        <v>1</v>
      </c>
      <c r="J66" s="90">
        <f t="shared" si="22"/>
        <v>1</v>
      </c>
      <c r="K66" s="90">
        <f t="shared" si="22"/>
        <v>1</v>
      </c>
      <c r="L66" s="90">
        <f t="shared" si="22"/>
        <v>1</v>
      </c>
      <c r="M66" s="90">
        <f t="shared" si="22"/>
        <v>1</v>
      </c>
      <c r="N66" s="90">
        <f t="shared" si="22"/>
        <v>1</v>
      </c>
      <c r="O66" s="90">
        <f t="shared" si="22"/>
        <v>1</v>
      </c>
    </row>
    <row r="67" spans="2:15" x14ac:dyDescent="0.25">
      <c r="B67" s="5" t="s">
        <v>182</v>
      </c>
      <c r="C67" s="90">
        <f t="shared" si="21"/>
        <v>1</v>
      </c>
      <c r="D67" s="90">
        <f t="shared" si="21"/>
        <v>1</v>
      </c>
      <c r="E67" s="90">
        <v>0.92</v>
      </c>
      <c r="F67" s="90">
        <v>0.92</v>
      </c>
      <c r="G67" s="90">
        <v>0.92</v>
      </c>
      <c r="H67" s="90">
        <v>0.92</v>
      </c>
      <c r="I67" s="90">
        <v>0.92</v>
      </c>
      <c r="J67" s="90">
        <v>0.92</v>
      </c>
      <c r="K67" s="90">
        <v>0.92</v>
      </c>
      <c r="L67" s="90">
        <v>0.92</v>
      </c>
      <c r="M67" s="90">
        <v>0.92</v>
      </c>
      <c r="N67" s="90">
        <v>0.92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0.90758709915904257</v>
      </c>
    </row>
  </sheetData>
  <sheetProtection algorithmName="SHA-512" hashValue="QTNrTNcX0LQnvnw9OcFIuF8iiKsb7nBsadUCrO1kCxqB4CvEkER3v8YCwNBmR8txM/1IAuOQ/zC/vA8HLWjOhA==" saltValue="f5+QlQPEjGE24L/HhPaCM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3" sqref="D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1/1.33</f>
        <v>0.75187969924812026</v>
      </c>
      <c r="E3" s="90">
        <f>1/1.33</f>
        <v>0.75187969924812026</v>
      </c>
      <c r="F3" s="90">
        <f>1/1.33</f>
        <v>0.75187969924812026</v>
      </c>
      <c r="G3" s="90">
        <f>1/1.33</f>
        <v>0.75187969924812026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1/1.33</f>
        <v>0.75187969924812026</v>
      </c>
      <c r="E5" s="90">
        <f>1/1.33</f>
        <v>0.75187969924812026</v>
      </c>
      <c r="F5" s="90">
        <f>1/1.33</f>
        <v>0.75187969924812026</v>
      </c>
      <c r="G5" s="90">
        <f>1/1.33</f>
        <v>0.75187969924812026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v>1</v>
      </c>
      <c r="D10" s="90">
        <f>1/1.54</f>
        <v>0.64935064935064934</v>
      </c>
      <c r="E10" s="90">
        <f>1/1.54</f>
        <v>0.64935064935064934</v>
      </c>
      <c r="F10" s="90">
        <f>1/1.54</f>
        <v>0.64935064935064934</v>
      </c>
      <c r="G10" s="90">
        <f>1/1.54</f>
        <v>0.64935064935064934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v>1</v>
      </c>
      <c r="D12" s="90">
        <f>1/1.54</f>
        <v>0.64935064935064934</v>
      </c>
      <c r="E12" s="90">
        <f>1/1.54</f>
        <v>0.64935064935064934</v>
      </c>
      <c r="F12" s="90">
        <f>1/1.54</f>
        <v>0.64935064935064934</v>
      </c>
      <c r="G12" s="90">
        <f>1/1.54</f>
        <v>0.64935064935064934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v>1</v>
      </c>
      <c r="D17" s="90">
        <f>1/1.16</f>
        <v>0.86206896551724144</v>
      </c>
      <c r="E17" s="90">
        <f>1/1.16</f>
        <v>0.86206896551724144</v>
      </c>
      <c r="F17" s="90">
        <f>1/1.16</f>
        <v>0.86206896551724144</v>
      </c>
      <c r="G17" s="90">
        <f>1/1.16</f>
        <v>0.86206896551724144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v>1</v>
      </c>
      <c r="D19" s="90">
        <f>1/1.16</f>
        <v>0.86206896551724144</v>
      </c>
      <c r="E19" s="90">
        <f>1/1.16</f>
        <v>0.86206896551724144</v>
      </c>
      <c r="F19" s="90">
        <f>1/1.16</f>
        <v>0.86206896551724144</v>
      </c>
      <c r="G19" s="90">
        <f>1/1.16</f>
        <v>0.86206896551724144</v>
      </c>
    </row>
  </sheetData>
  <sheetProtection algorithmName="SHA-512" hashValue="ZIjv20oIFeX8hEAP3JXu7+FjYQdIWvRgXIH4IkxRsMm14MAW5JMg2x9QOPJ7rc+IAMFEDvKO0XCydnz4Atw3VA==" saltValue="eIHIWivrA2mRyU/FI0KAAQ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53" zoomScale="80" zoomScaleNormal="80" workbookViewId="0">
      <selection activeCell="D50" sqref="D50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x14ac:dyDescent="0.25">
      <c r="C4" s="5" t="s">
        <v>340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x14ac:dyDescent="0.25">
      <c r="C44" s="5" t="s">
        <v>340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x14ac:dyDescent="0.25">
      <c r="B45" s="5" t="s">
        <v>82</v>
      </c>
      <c r="C45" s="5" t="s">
        <v>338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0.32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x14ac:dyDescent="0.25">
      <c r="C59" s="5" t="s">
        <v>340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x14ac:dyDescent="0.25">
      <c r="C61" s="5" t="s">
        <v>340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x14ac:dyDescent="0.25">
      <c r="B62" s="5" t="s">
        <v>204</v>
      </c>
      <c r="C62" s="5" t="s">
        <v>338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x14ac:dyDescent="0.25">
      <c r="C63" s="5" t="s">
        <v>340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x14ac:dyDescent="0.25">
      <c r="C65" s="5" t="s">
        <v>340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x14ac:dyDescent="0.25">
      <c r="B66" s="5" t="s">
        <v>204</v>
      </c>
      <c r="C66" s="5" t="s">
        <v>338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x14ac:dyDescent="0.25">
      <c r="C67" s="5" t="s">
        <v>340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x14ac:dyDescent="0.25">
      <c r="C69" s="5" t="s">
        <v>340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340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340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340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340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340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340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82</v>
      </c>
      <c r="C100" s="5" t="s">
        <v>338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340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0.14000000000000001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340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340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204</v>
      </c>
      <c r="C117" s="5" t="s">
        <v>338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340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340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204</v>
      </c>
      <c r="C121" s="5" t="s">
        <v>338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340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340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340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340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204</v>
      </c>
      <c r="C129" s="5" t="s">
        <v>338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340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340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340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340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340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340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340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82</v>
      </c>
      <c r="C155" s="5" t="s">
        <v>338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340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0.47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gIF3gzcRwMevsVP9JM+eFJliWIfkjL6RYnVy29HH1zFwKTB/eJc1NVFGROY84dwrfqcI+B8KpOZ1waT1qDgCXQ==" saltValue="0Itsi1W8Rg+oXl6coWpo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53" sqref="D53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SSCu+FR+SN+siPEoAiap+3g3Z0SGqFtJklZqGSbEJvGKfBY2J7BHBpfevFvAYPx8Hf15tBeGKZdJ4ehQEpyLRg==" saltValue="A0PmMaoo+OfazXy7x4UxVw==" spinCount="100000" sheet="1" selectLockedCells="1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DB4B0A5FF4A85E5854FA9B1BD84" ma:contentTypeVersion="6" ma:contentTypeDescription="Create a new document." ma:contentTypeScope="" ma:versionID="107b52809c0cc4b5077f1ac81d3c69cc">
  <xsd:schema xmlns:xsd="http://www.w3.org/2001/XMLSchema" xmlns:xs="http://www.w3.org/2001/XMLSchema" xmlns:p="http://schemas.microsoft.com/office/2006/metadata/properties" xmlns:ns2="5de2aea6-bdc3-4e5f-b0ae-84d85b5764e4" targetNamespace="http://schemas.microsoft.com/office/2006/metadata/properties" ma:root="true" ma:fieldsID="82b7e1b740270cfb0676be859a78f3d0" ns2:_="">
    <xsd:import namespace="5de2aea6-bdc3-4e5f-b0ae-84d85b576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2aea6-bdc3-4e5f-b0ae-84d85b576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71839-3105-4CF6-8631-CD19E5D8C1FC}"/>
</file>

<file path=customXml/itemProps2.xml><?xml version="1.0" encoding="utf-8"?>
<ds:datastoreItem xmlns:ds="http://schemas.openxmlformats.org/officeDocument/2006/customXml" ds:itemID="{B3842E33-FF42-4A3A-80A7-AB07BE46E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2024-03-26T04:24:22Z</dcterms:modified>
</cp:coreProperties>
</file>