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3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7.xml" ContentType="application/vnd.openxmlformats-officedocument.spreadsheetml.comments+xml"/>
  <Override PartName="/xl/comments1.xml" ContentType="application/vnd.openxmlformats-officedocument.spreadsheetml.comments+xml"/>
  <Override PartName="/xl/comments15.xml" ContentType="application/vnd.openxmlformats-officedocument.spreadsheetml.comments+xml"/>
  <Override PartName="/xl/comments11.xml" ContentType="application/vnd.openxmlformats-officedocument.spreadsheetml.comments+xml"/>
  <Override PartName="/xl/comments16.xml" ContentType="application/vnd.openxmlformats-officedocument.spreadsheetml.comments+xml"/>
  <Override PartName="/xl/comments9.xml" ContentType="application/vnd.openxmlformats-officedocument.spreadsheetml.comments+xml"/>
  <Override PartName="/xl/comments17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787EF661-45DB-4A33-B15F-D8CFC1E88E45}" xr6:coauthVersionLast="47" xr6:coauthVersionMax="47" xr10:uidLastSave="{00000000-0000-0000-0000-000000000000}"/>
  <bookViews>
    <workbookView xWindow="0" yWindow="3670" windowWidth="19200" windowHeight="6530" tabRatio="961" firstSheet="8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D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F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D115" i="20"/>
  <c r="H114" i="20"/>
  <c r="G114" i="20"/>
  <c r="F114" i="20"/>
  <c r="D114" i="20"/>
  <c r="H113" i="20"/>
  <c r="G113" i="20"/>
  <c r="F113" i="20"/>
  <c r="E113" i="20"/>
  <c r="D113" i="20"/>
  <c r="H112" i="20"/>
  <c r="G112" i="20"/>
  <c r="F112" i="20"/>
  <c r="E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D62" i="20"/>
  <c r="H61" i="20"/>
  <c r="G61" i="20"/>
  <c r="F61" i="20"/>
  <c r="D61" i="20"/>
  <c r="H60" i="20"/>
  <c r="G60" i="20"/>
  <c r="F60" i="20"/>
  <c r="E60" i="20"/>
  <c r="D60" i="20"/>
  <c r="H59" i="20"/>
  <c r="G59" i="20"/>
  <c r="F59" i="20"/>
  <c r="E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36" i="2"/>
  <c r="A29" i="2"/>
  <c r="A28" i="2"/>
  <c r="A21" i="2"/>
  <c r="A20" i="2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5" i="2" s="1"/>
  <c r="C33" i="1"/>
  <c r="C20" i="1"/>
  <c r="A14" i="2" l="1"/>
  <c r="A22" i="2"/>
  <c r="A40" i="2"/>
  <c r="A30" i="2"/>
  <c r="A17" i="2"/>
  <c r="A25" i="2"/>
  <c r="A33" i="2"/>
  <c r="A16" i="2"/>
  <c r="A24" i="2"/>
  <c r="A3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8" i="2"/>
  <c r="A26" i="2"/>
  <c r="A34" i="2"/>
  <c r="A39" i="2"/>
  <c r="A38" i="2"/>
  <c r="A15" i="2"/>
  <c r="A23" i="2"/>
  <c r="A31" i="2"/>
  <c r="A19" i="2"/>
  <c r="A2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Moorthy et al 2020, anemia RR 0.90 (0.84-0.95 )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Sivanandan &amp; Sankar 2023, neonatal RR 0.68 (0.53-0.86)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<sst xmlns="http://schemas.openxmlformats.org/spreadsheetml/2006/main" count="2092" uniqueCount="341">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</sst>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7" sqref="C7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2024</v>
      </c>
    </row>
    <row r="4" spans="1:3" ht="15.9" customHeight="1" x14ac:dyDescent="0.3">
      <c r="A4" s="1"/>
      <c r="B4" s="5" t="s">
        <v>5</v>
      </c>
      <c r="C4" s="42">
        <v>2035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86570.662109375</v>
      </c>
    </row>
    <row r="8" spans="1:3" ht="15" customHeight="1" x14ac:dyDescent="0.25">
      <c r="B8" s="5" t="s">
        <v>8</v>
      </c>
      <c r="C8" s="44">
        <v>1.4E-2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0.87981307983398394</v>
      </c>
    </row>
    <row r="11" spans="1:3" ht="15" customHeight="1" x14ac:dyDescent="0.25">
      <c r="B11" s="5" t="s">
        <v>11</v>
      </c>
      <c r="C11" s="45">
        <v>0.93599999999999994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0.10299999999999999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0.1032</v>
      </c>
    </row>
    <row r="24" spans="1:3" ht="15" customHeight="1" x14ac:dyDescent="0.25">
      <c r="B24" s="15" t="s">
        <v>22</v>
      </c>
      <c r="C24" s="45">
        <v>0.55130000000000001</v>
      </c>
    </row>
    <row r="25" spans="1:3" ht="15" customHeight="1" x14ac:dyDescent="0.25">
      <c r="B25" s="15" t="s">
        <v>23</v>
      </c>
      <c r="C25" s="45">
        <v>0.28949999999999998</v>
      </c>
    </row>
    <row r="26" spans="1:3" ht="15" customHeight="1" x14ac:dyDescent="0.25">
      <c r="B26" s="15" t="s">
        <v>24</v>
      </c>
      <c r="C26" s="45">
        <v>5.6000000000000008E-2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0.35185775257007201</v>
      </c>
    </row>
    <row r="30" spans="1:3" ht="14.25" customHeight="1" x14ac:dyDescent="0.25">
      <c r="B30" s="25" t="s">
        <v>27</v>
      </c>
      <c r="C30" s="99">
        <v>2.3858720907234902E-2</v>
      </c>
    </row>
    <row r="31" spans="1:3" ht="14.25" customHeight="1" x14ac:dyDescent="0.25">
      <c r="B31" s="25" t="s">
        <v>28</v>
      </c>
      <c r="C31" s="99">
        <v>3.4342930038455802E-2</v>
      </c>
    </row>
    <row r="32" spans="1:3" ht="14.25" customHeight="1" x14ac:dyDescent="0.25">
      <c r="B32" s="25" t="s">
        <v>29</v>
      </c>
      <c r="C32" s="99">
        <v>0.58994059648423802</v>
      </c>
    </row>
    <row r="33" spans="1:5" ht="13" customHeight="1" x14ac:dyDescent="0.25">
      <c r="B33" s="27" t="s">
        <v>30</v>
      </c>
      <c r="C33" s="48">
        <f>SUM(C29:C32)</f>
        <v>1.0000000000000007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13.74817</v>
      </c>
    </row>
    <row r="38" spans="1:5" ht="15" customHeight="1" x14ac:dyDescent="0.25">
      <c r="B38" s="11" t="s">
        <v>34</v>
      </c>
      <c r="C38" s="43">
        <v>23.256340000000002</v>
      </c>
      <c r="D38" s="12"/>
      <c r="E38" s="13"/>
    </row>
    <row r="39" spans="1:5" ht="15" customHeight="1" x14ac:dyDescent="0.25">
      <c r="B39" s="11" t="s">
        <v>35</v>
      </c>
      <c r="C39" s="43">
        <v>27.726030000000002</v>
      </c>
      <c r="D39" s="12"/>
      <c r="E39" s="12"/>
    </row>
    <row r="40" spans="1:5" ht="15" customHeight="1" x14ac:dyDescent="0.25">
      <c r="B40" s="11" t="s">
        <v>36</v>
      </c>
      <c r="C40" s="100">
        <v>0.38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9.1388800000000003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6.1751000000000002E-3</v>
      </c>
      <c r="D45" s="12"/>
    </row>
    <row r="46" spans="1:5" ht="15.75" customHeight="1" x14ac:dyDescent="0.25">
      <c r="B46" s="11" t="s">
        <v>41</v>
      </c>
      <c r="C46" s="45">
        <v>6.6350900000000004E-2</v>
      </c>
      <c r="D46" s="12"/>
    </row>
    <row r="47" spans="1:5" ht="15.75" customHeight="1" x14ac:dyDescent="0.25">
      <c r="B47" s="11" t="s">
        <v>42</v>
      </c>
      <c r="C47" s="45">
        <v>7.5128899999999998E-2</v>
      </c>
      <c r="D47" s="12"/>
      <c r="E47" s="13"/>
    </row>
    <row r="48" spans="1:5" ht="15" customHeight="1" x14ac:dyDescent="0.25">
      <c r="B48" s="11" t="s">
        <v>43</v>
      </c>
      <c r="C48" s="46">
        <v>0.85234509999999997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0.48294500000000001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(2024)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0.16625425403784</v>
      </c>
      <c r="C2" s="98">
        <v>0.95</v>
      </c>
      <c r="D2" s="56">
        <v>64.978466716900769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40.035884855702882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523.3469422837544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2.222199495604066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13.16818429949879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13.16818429949879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13.16818429949879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13.16818429949879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13.16818429949879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13.16818429949879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0.24163745627</v>
      </c>
      <c r="C16" s="98">
        <v>0.95</v>
      </c>
      <c r="D16" s="56">
        <v>0.87495009939413526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0.98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12.03223213704624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12.03223213704624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0.119801</v>
      </c>
      <c r="C21" s="98">
        <v>0.95</v>
      </c>
      <c r="D21" s="56">
        <v>23.370362340463299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22.805877504333029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5.2214799999999999E-2</v>
      </c>
      <c r="C23" s="98">
        <v>0.95</v>
      </c>
      <c r="D23" s="56">
        <v>4.3768406970404801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0.74599349797708991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0.21316354979423999</v>
      </c>
      <c r="C27" s="98">
        <v>0.95</v>
      </c>
      <c r="D27" s="56">
        <v>18.714394010930931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0.53874940000000004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129.5082053629678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2.7005701608607802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0.39031369999999999</v>
      </c>
      <c r="C32" s="98">
        <v>0.95</v>
      </c>
      <c r="D32" s="56">
        <v>1.894695667647958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0.93043739999999997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0.1946205</v>
      </c>
      <c r="C38" s="98">
        <v>0.95</v>
      </c>
      <c r="D38" s="56">
        <v>6.0398139560416322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0.54248930000000006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C13" sqref="C13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9.8164299999999996E-2</v>
      </c>
      <c r="C3" s="21">
        <f>frac_mam_1_5months * 2.6</f>
        <v>9.8164299999999996E-2</v>
      </c>
      <c r="D3" s="21">
        <f>frac_mam_6_11months * 2.6</f>
        <v>0.13364832000000001</v>
      </c>
      <c r="E3" s="21">
        <f>frac_mam_12_23months * 2.6</f>
        <v>8.6190780000000008E-2</v>
      </c>
      <c r="F3" s="21">
        <f>frac_mam_24_59months * 2.6</f>
        <v>8.0033980000000005E-2</v>
      </c>
    </row>
    <row r="4" spans="1:6" ht="15.75" customHeight="1" x14ac:dyDescent="0.25">
      <c r="A4" s="3" t="s">
        <v>205</v>
      </c>
      <c r="B4" s="21">
        <f>frac_sam_1month * 2.6</f>
        <v>0.11159538000000001</v>
      </c>
      <c r="C4" s="21">
        <f>frac_sam_1_5months * 2.6</f>
        <v>0.11159538000000001</v>
      </c>
      <c r="D4" s="21">
        <f>frac_sam_6_11months * 2.6</f>
        <v>5.3288559999999999E-2</v>
      </c>
      <c r="E4" s="21">
        <f>frac_sam_12_23months * 2.6</f>
        <v>1.241916E-2</v>
      </c>
      <c r="F4" s="21">
        <f>frac_sam_24_59months * 2.6</f>
        <v>1.8849480000000002E-2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1.4E-2</v>
      </c>
      <c r="E2" s="60">
        <f>food_insecure</f>
        <v>1.4E-2</v>
      </c>
      <c r="F2" s="60">
        <f>food_insecure</f>
        <v>1.4E-2</v>
      </c>
      <c r="G2" s="60">
        <f>food_insecure</f>
        <v>1.4E-2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1.4E-2</v>
      </c>
      <c r="F5" s="60">
        <f>food_insecure</f>
        <v>1.4E-2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1.4E-2</v>
      </c>
      <c r="F8" s="60">
        <f>food_insecure</f>
        <v>1.4E-2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1.4E-2</v>
      </c>
      <c r="F9" s="60">
        <f>food_insecure</f>
        <v>1.4E-2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1.4E-2</v>
      </c>
      <c r="I15" s="60">
        <f>food_insecure</f>
        <v>1.4E-2</v>
      </c>
      <c r="J15" s="60">
        <f>food_insecure</f>
        <v>1.4E-2</v>
      </c>
      <c r="K15" s="60">
        <f>food_insecure</f>
        <v>1.4E-2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0.93599999999999994</v>
      </c>
      <c r="I18" s="60">
        <f>frac_PW_health_facility</f>
        <v>0.93599999999999994</v>
      </c>
      <c r="J18" s="60">
        <f>frac_PW_health_facility</f>
        <v>0.93599999999999994</v>
      </c>
      <c r="K18" s="60">
        <f>frac_PW_health_facility</f>
        <v>0.93599999999999994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0.10299999999999999</v>
      </c>
      <c r="M24" s="60">
        <f>famplan_unmet_need</f>
        <v>0.10299999999999999</v>
      </c>
      <c r="N24" s="60">
        <f>famplan_unmet_need</f>
        <v>0.10299999999999999</v>
      </c>
      <c r="O24" s="60">
        <f>famplan_unmet_need</f>
        <v>0.10299999999999999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5.9244940426635952E-2</v>
      </c>
      <c r="M25" s="60">
        <f>(1-food_insecure)*(0.49)+food_insecure*(0.7)</f>
        <v>0.49293999999999993</v>
      </c>
      <c r="N25" s="60">
        <f>(1-food_insecure)*(0.49)+food_insecure*(0.7)</f>
        <v>0.49293999999999993</v>
      </c>
      <c r="O25" s="60">
        <f>(1-food_insecure)*(0.49)+food_insecure*(0.7)</f>
        <v>0.49293999999999993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2.5390688754272556E-2</v>
      </c>
      <c r="M26" s="60">
        <f>(1-food_insecure)*(0.21)+food_insecure*(0.3)</f>
        <v>0.21126</v>
      </c>
      <c r="N26" s="60">
        <f>(1-food_insecure)*(0.21)+food_insecure*(0.3)</f>
        <v>0.21126</v>
      </c>
      <c r="O26" s="60">
        <f>(1-food_insecure)*(0.21)+food_insecure*(0.3)</f>
        <v>0.21126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3.555129098510755E-2</v>
      </c>
      <c r="M27" s="60">
        <f>(1-food_insecure)*(0.3)</f>
        <v>0.29580000000000001</v>
      </c>
      <c r="N27" s="60">
        <f>(1-food_insecure)*(0.3)</f>
        <v>0.29580000000000001</v>
      </c>
      <c r="O27" s="60">
        <f>(1-food_insecure)*(0.3)</f>
        <v>0.29580000000000001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0.87981307983398394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D14" sqref="D14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IvQDIxW99fzq1Zy0EhkbKUzL+Oo6JppYFJRusT7f1RK58axANCQbQrXBA4I5Zda1hiQSlfJ6FnKfxlkgJRWRpg==" saltValue="tOfPnYqP3Wy6+yrctBxWkQ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1" sqref="B11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2024</v>
      </c>
      <c r="B2" s="49">
        <v>16279.1464</v>
      </c>
      <c r="C2" s="49">
        <v>41000</v>
      </c>
      <c r="D2" s="49">
        <v>70000</v>
      </c>
      <c r="E2" s="49">
        <v>66000</v>
      </c>
      <c r="F2" s="49">
        <v>59000</v>
      </c>
      <c r="G2" s="17">
        <f t="shared" ref="G2:G13" si="0">C2+D2+E2+F2</f>
        <v>236000</v>
      </c>
      <c r="H2" s="17">
        <f t="shared" ref="H2:H13" si="1">(B2 + stillbirth*B2/(1000-stillbirth))/(1-abortion)</f>
        <v>18669.649688141966</v>
      </c>
      <c r="I2" s="17">
        <f t="shared" ref="I2:I13" si="2">G2-H2</f>
        <v>217330.35031185803</v>
      </c>
    </row>
    <row r="3" spans="1:9" ht="15.75" customHeight="1" x14ac:dyDescent="0.25">
      <c r="A3" s="5">
        <f t="shared" ref="A3:A40" si="3">IF($A$2+ROW(A3)-2&lt;=end_year,A2+1,"")</f>
        <v>2025</v>
      </c>
      <c r="B3" s="49">
        <v>16134.8</v>
      </c>
      <c r="C3" s="50">
        <v>42000</v>
      </c>
      <c r="D3" s="50">
        <v>69000</v>
      </c>
      <c r="E3" s="50">
        <v>65000</v>
      </c>
      <c r="F3" s="50">
        <v>60000</v>
      </c>
      <c r="G3" s="17">
        <f t="shared" si="0"/>
        <v>236000</v>
      </c>
      <c r="H3" s="17">
        <f t="shared" si="1"/>
        <v>18504.10681165893</v>
      </c>
      <c r="I3" s="17">
        <f t="shared" si="2"/>
        <v>217495.89318834106</v>
      </c>
    </row>
    <row r="4" spans="1:9" ht="15.75" customHeight="1" x14ac:dyDescent="0.25">
      <c r="A4" s="5">
        <f t="shared" si="3"/>
        <v>2026</v>
      </c>
      <c r="B4" s="49">
        <v>16081.627</v>
      </c>
      <c r="C4" s="50">
        <v>42000</v>
      </c>
      <c r="D4" s="50">
        <v>70000</v>
      </c>
      <c r="E4" s="50">
        <v>64000</v>
      </c>
      <c r="F4" s="50">
        <v>61000</v>
      </c>
      <c r="G4" s="17">
        <f t="shared" si="0"/>
        <v>237000</v>
      </c>
      <c r="H4" s="17">
        <f t="shared" si="1"/>
        <v>18443.12564849011</v>
      </c>
      <c r="I4" s="17">
        <f t="shared" si="2"/>
        <v>218556.8743515099</v>
      </c>
    </row>
    <row r="5" spans="1:9" ht="15.75" customHeight="1" x14ac:dyDescent="0.25">
      <c r="A5" s="5">
        <f t="shared" si="3"/>
        <v>2027</v>
      </c>
      <c r="B5" s="49">
        <v>16010.313200000001</v>
      </c>
      <c r="C5" s="50">
        <v>42000</v>
      </c>
      <c r="D5" s="50">
        <v>71000</v>
      </c>
      <c r="E5" s="50">
        <v>65000</v>
      </c>
      <c r="F5" s="50">
        <v>62000</v>
      </c>
      <c r="G5" s="17">
        <f t="shared" si="0"/>
        <v>240000</v>
      </c>
      <c r="H5" s="17">
        <f t="shared" si="1"/>
        <v>18361.339808421111</v>
      </c>
      <c r="I5" s="17">
        <f t="shared" si="2"/>
        <v>221638.66019157888</v>
      </c>
    </row>
    <row r="6" spans="1:9" ht="15.75" customHeight="1" x14ac:dyDescent="0.25">
      <c r="A6" s="5">
        <f t="shared" si="3"/>
        <v>2028</v>
      </c>
      <c r="B6" s="49">
        <v>15937.8426</v>
      </c>
      <c r="C6" s="50">
        <v>42000</v>
      </c>
      <c r="D6" s="50">
        <v>73000</v>
      </c>
      <c r="E6" s="50">
        <v>65000</v>
      </c>
      <c r="F6" s="50">
        <v>62000</v>
      </c>
      <c r="G6" s="17">
        <f t="shared" si="0"/>
        <v>242000</v>
      </c>
      <c r="H6" s="17">
        <f t="shared" si="1"/>
        <v>18278.227298622103</v>
      </c>
      <c r="I6" s="17">
        <f t="shared" si="2"/>
        <v>223721.77270137789</v>
      </c>
    </row>
    <row r="7" spans="1:9" ht="15.75" customHeight="1" x14ac:dyDescent="0.25">
      <c r="A7" s="5">
        <f t="shared" si="3"/>
        <v>2029</v>
      </c>
      <c r="B7" s="49">
        <v>15864.215200000001</v>
      </c>
      <c r="C7" s="50">
        <v>41000</v>
      </c>
      <c r="D7" s="50">
        <v>74000</v>
      </c>
      <c r="E7" s="50">
        <v>64000</v>
      </c>
      <c r="F7" s="50">
        <v>62000</v>
      </c>
      <c r="G7" s="17">
        <f t="shared" si="0"/>
        <v>241000</v>
      </c>
      <c r="H7" s="17">
        <f t="shared" si="1"/>
        <v>18193.788119093089</v>
      </c>
      <c r="I7" s="17">
        <f t="shared" si="2"/>
        <v>222806.21188090692</v>
      </c>
    </row>
    <row r="8" spans="1:9" ht="15.75" customHeight="1" x14ac:dyDescent="0.25">
      <c r="A8" s="5">
        <f t="shared" si="3"/>
        <v>2030</v>
      </c>
      <c r="B8" s="49">
        <v>15773.17</v>
      </c>
      <c r="C8" s="50">
        <v>41000</v>
      </c>
      <c r="D8" s="50">
        <v>75000</v>
      </c>
      <c r="E8" s="50">
        <v>64000</v>
      </c>
      <c r="F8" s="50">
        <v>61000</v>
      </c>
      <c r="G8" s="17">
        <f t="shared" si="0"/>
        <v>241000</v>
      </c>
      <c r="H8" s="17">
        <f t="shared" si="1"/>
        <v>18089.373431245156</v>
      </c>
      <c r="I8" s="17">
        <f t="shared" si="2"/>
        <v>222910.62656875484</v>
      </c>
    </row>
    <row r="9" spans="1:9" ht="15.75" customHeight="1" x14ac:dyDescent="0.25">
      <c r="A9" s="5">
        <f t="shared" si="3"/>
        <v>2031</v>
      </c>
      <c r="B9" s="49">
        <v>15700.887657142859</v>
      </c>
      <c r="C9" s="50">
        <v>41000</v>
      </c>
      <c r="D9" s="50">
        <v>75714.28571428571</v>
      </c>
      <c r="E9" s="50">
        <v>63714.285714285717</v>
      </c>
      <c r="F9" s="50">
        <v>61285.714285714283</v>
      </c>
      <c r="G9" s="17">
        <f t="shared" si="0"/>
        <v>241714.28571428571</v>
      </c>
      <c r="H9" s="17">
        <f t="shared" si="1"/>
        <v>18006.476823117042</v>
      </c>
      <c r="I9" s="17">
        <f t="shared" si="2"/>
        <v>223707.80889116868</v>
      </c>
    </row>
    <row r="10" spans="1:9" ht="15.75" customHeight="1" x14ac:dyDescent="0.25">
      <c r="A10" s="5">
        <f t="shared" si="3"/>
        <v>2032</v>
      </c>
      <c r="B10" s="49">
        <v>15638.900179591839</v>
      </c>
      <c r="C10" s="50">
        <v>40857.142857142862</v>
      </c>
      <c r="D10" s="50">
        <v>76673.469387755104</v>
      </c>
      <c r="E10" s="50">
        <v>63530.612244897973</v>
      </c>
      <c r="F10" s="50">
        <v>61469.387755102027</v>
      </c>
      <c r="G10" s="17">
        <f t="shared" si="0"/>
        <v>242530.61224489793</v>
      </c>
      <c r="H10" s="17">
        <f t="shared" si="1"/>
        <v>17935.386824753918</v>
      </c>
      <c r="I10" s="17">
        <f t="shared" si="2"/>
        <v>224595.22542014401</v>
      </c>
    </row>
    <row r="11" spans="1:9" ht="15.75" customHeight="1" x14ac:dyDescent="0.25">
      <c r="A11" s="5">
        <f t="shared" si="3"/>
        <v>2033</v>
      </c>
      <c r="B11" s="49">
        <v>15575.6534909621</v>
      </c>
      <c r="C11" s="50">
        <v>40693.877551020407</v>
      </c>
      <c r="D11" s="50">
        <v>77626.822157434406</v>
      </c>
      <c r="E11" s="50">
        <v>63463.556851311958</v>
      </c>
      <c r="F11" s="50">
        <v>61536.443148688042</v>
      </c>
      <c r="G11" s="17">
        <f t="shared" si="0"/>
        <v>243320.69970845481</v>
      </c>
      <c r="H11" s="17">
        <f t="shared" si="1"/>
        <v>17862.852707077316</v>
      </c>
      <c r="I11" s="17">
        <f t="shared" si="2"/>
        <v>225457.84700137749</v>
      </c>
    </row>
    <row r="12" spans="1:9" ht="15.75" customHeight="1" x14ac:dyDescent="0.25">
      <c r="A12" s="5">
        <f t="shared" si="3"/>
        <v>2034</v>
      </c>
      <c r="B12" s="49">
        <v>15513.559246813829</v>
      </c>
      <c r="C12" s="50">
        <v>40507.28862973761</v>
      </c>
      <c r="D12" s="50">
        <v>78573.511037067889</v>
      </c>
      <c r="E12" s="50">
        <v>63244.064972927947</v>
      </c>
      <c r="F12" s="50">
        <v>61470.220741357763</v>
      </c>
      <c r="G12" s="17">
        <f t="shared" si="0"/>
        <v>243795.08538109122</v>
      </c>
      <c r="H12" s="17">
        <f t="shared" si="1"/>
        <v>17791.640264028203</v>
      </c>
      <c r="I12" s="17">
        <f t="shared" si="2"/>
        <v>226003.44511706301</v>
      </c>
    </row>
    <row r="13" spans="1:9" ht="15.75" customHeight="1" x14ac:dyDescent="0.25">
      <c r="A13" s="5">
        <f t="shared" si="3"/>
        <v>2035</v>
      </c>
      <c r="B13" s="49">
        <v>15452.947339215811</v>
      </c>
      <c r="C13" s="50">
        <v>40294.044148271547</v>
      </c>
      <c r="D13" s="50">
        <v>79369.72689950616</v>
      </c>
      <c r="E13" s="50">
        <v>62993.217111917656</v>
      </c>
      <c r="F13" s="50">
        <v>61394.537990123157</v>
      </c>
      <c r="G13" s="17">
        <f t="shared" si="0"/>
        <v>244051.5261498185</v>
      </c>
      <c r="H13" s="17">
        <f t="shared" si="1"/>
        <v>17722.127830514793</v>
      </c>
      <c r="I13" s="17">
        <f t="shared" si="2"/>
        <v>226329.3983193037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wKxEoWv7nnHIidhOP9O7yQQ4/tikEcXr6gTA2GrtyLYFAb1ix6Ln3irIlHONZ8I1dXNIh1a5t0Hcu3pPb5ZHrw==" saltValue="PZemEz5qyqkMYDJdSEC/K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" sqref="D5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v>1.56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1.56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1.56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1.56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v>1.37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v>1.37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v>1.37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v>1.37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v>1.77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v>1.77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riIqDHxQDNIc95k8WEEMlpv2yK5yRhEl3GZr9d21PG7QnhNwxgtjaWmZN+9widROwyhXiwQ4XZiTM/cZ2Cl95g==" saltValue="b1Xx0XPjIcbtdUQJGdoNkQ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31" zoomScale="85" zoomScaleNormal="85" workbookViewId="0">
      <selection activeCell="D53" sqref="D5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53" sqref="D53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D50" sqref="D50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0.62434011584749782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0.62633537771614323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0.87270353031553982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0.87364661414285583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0.87270353031553982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0.87364661414285583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0.42347722865388515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0.425557754493117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0.84120856541958611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0.84234282928048076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0.84120856541958611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0.84234282928048076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v>1.26</v>
      </c>
      <c r="D35" s="90">
        <v>1.1100000000000001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0.91490048762999254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0.91556120023302756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0.9043293357760861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0.90506360619187232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0.9043293357760861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0.90506360619187232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v>1.78</v>
      </c>
      <c r="D58" s="90">
        <v>1.74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10" zoomScale="70" zoomScaleNormal="70" workbookViewId="0">
      <selection activeCell="D50" sqref="D50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E35" zoomScale="70" zoomScaleNormal="70" workbookViewId="0">
      <selection activeCell="D50" sqref="D50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0.9</v>
      </c>
      <c r="M10" s="90">
        <v>0.9</v>
      </c>
      <c r="N10" s="90">
        <v>0.9</v>
      </c>
      <c r="O10" s="90">
        <v>0.9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 t="shared" ref="E19:O19" si="0">0.72</f>
        <v>0.72</v>
      </c>
      <c r="F19" s="90">
        <f t="shared" si="0"/>
        <v>0.72</v>
      </c>
      <c r="G19" s="90">
        <f t="shared" si="0"/>
        <v>0.72</v>
      </c>
      <c r="H19" s="90">
        <f t="shared" si="0"/>
        <v>0.72</v>
      </c>
      <c r="I19" s="90">
        <f t="shared" si="0"/>
        <v>0.72</v>
      </c>
      <c r="J19" s="90">
        <f t="shared" si="0"/>
        <v>0.72</v>
      </c>
      <c r="K19" s="90">
        <f t="shared" si="0"/>
        <v>0.72</v>
      </c>
      <c r="L19" s="90">
        <f t="shared" si="0"/>
        <v>0.72</v>
      </c>
      <c r="M19" s="90">
        <f t="shared" si="0"/>
        <v>0.72</v>
      </c>
      <c r="N19" s="90">
        <f t="shared" si="0"/>
        <v>0.72</v>
      </c>
      <c r="O19" s="90">
        <f t="shared" si="0"/>
        <v>0.72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0.8</v>
      </c>
      <c r="F21" s="90">
        <v>0.8</v>
      </c>
      <c r="G21" s="90">
        <v>0.8</v>
      </c>
      <c r="H21" s="90">
        <v>0.8</v>
      </c>
      <c r="I21" s="90">
        <v>0.8</v>
      </c>
      <c r="J21" s="90">
        <v>0.8</v>
      </c>
      <c r="K21" s="90">
        <v>0.8</v>
      </c>
      <c r="L21" s="90">
        <v>0.8</v>
      </c>
      <c r="M21" s="90">
        <v>0.8</v>
      </c>
      <c r="N21" s="90">
        <v>0.8</v>
      </c>
      <c r="O21" s="90">
        <v>0.8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1">IF(E3=1,1,E3*0.9)</f>
        <v>1</v>
      </c>
      <c r="F26" s="90">
        <f t="shared" si="1"/>
        <v>1</v>
      </c>
      <c r="G26" s="90">
        <f t="shared" si="1"/>
        <v>1</v>
      </c>
      <c r="H26" s="90">
        <f t="shared" si="1"/>
        <v>1</v>
      </c>
      <c r="I26" s="90">
        <f t="shared" si="1"/>
        <v>1</v>
      </c>
      <c r="J26" s="90">
        <f t="shared" si="1"/>
        <v>1</v>
      </c>
      <c r="K26" s="90">
        <f t="shared" si="1"/>
        <v>1</v>
      </c>
      <c r="L26" s="90">
        <f t="shared" si="1"/>
        <v>1</v>
      </c>
      <c r="M26" s="90">
        <f t="shared" si="1"/>
        <v>1</v>
      </c>
      <c r="N26" s="90">
        <f t="shared" si="1"/>
        <v>1</v>
      </c>
      <c r="O26" s="90">
        <f t="shared" si="1"/>
        <v>1</v>
      </c>
    </row>
    <row r="27" spans="1:15" x14ac:dyDescent="0.25">
      <c r="B27" s="11" t="s">
        <v>175</v>
      </c>
      <c r="C27" s="90">
        <f t="shared" ref="C27:G33" si="2">IF(C4=1,1,C4*0.9)</f>
        <v>1</v>
      </c>
      <c r="D27" s="90">
        <f t="shared" si="2"/>
        <v>1</v>
      </c>
      <c r="E27" s="90">
        <f t="shared" si="2"/>
        <v>1</v>
      </c>
      <c r="F27" s="90">
        <f t="shared" si="2"/>
        <v>1</v>
      </c>
      <c r="G27" s="90">
        <f t="shared" si="2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3">IF(L4=1,1,L4*0.9)</f>
        <v>1</v>
      </c>
      <c r="M27" s="90">
        <f t="shared" si="3"/>
        <v>1</v>
      </c>
      <c r="N27" s="90">
        <f t="shared" si="3"/>
        <v>1</v>
      </c>
      <c r="O27" s="90">
        <f t="shared" si="3"/>
        <v>1</v>
      </c>
    </row>
    <row r="28" spans="1:15" x14ac:dyDescent="0.25">
      <c r="B28" s="11" t="s">
        <v>176</v>
      </c>
      <c r="C28" s="90">
        <f t="shared" si="2"/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3"/>
        <v>1</v>
      </c>
      <c r="M28" s="90">
        <f t="shared" si="3"/>
        <v>1</v>
      </c>
      <c r="N28" s="90">
        <f t="shared" si="3"/>
        <v>1</v>
      </c>
      <c r="O28" s="90">
        <f t="shared" si="3"/>
        <v>1</v>
      </c>
    </row>
    <row r="29" spans="1:15" x14ac:dyDescent="0.25">
      <c r="B29" s="11" t="s">
        <v>177</v>
      </c>
      <c r="C29" s="90">
        <f t="shared" si="2"/>
        <v>1</v>
      </c>
      <c r="D29" s="90">
        <f t="shared" si="2"/>
        <v>1</v>
      </c>
      <c r="E29" s="90">
        <f t="shared" si="2"/>
        <v>1</v>
      </c>
      <c r="F29" s="90">
        <f t="shared" si="2"/>
        <v>1</v>
      </c>
      <c r="G29" s="90">
        <f t="shared" si="2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si="2"/>
        <v>1</v>
      </c>
      <c r="D30" s="90">
        <f t="shared" si="2"/>
        <v>1</v>
      </c>
      <c r="E30" s="90">
        <f t="shared" si="2"/>
        <v>1</v>
      </c>
      <c r="F30" s="90">
        <f t="shared" si="2"/>
        <v>1</v>
      </c>
      <c r="G30" s="90">
        <f t="shared" si="2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3"/>
        <v>1</v>
      </c>
      <c r="M30" s="90">
        <f t="shared" si="3"/>
        <v>1</v>
      </c>
      <c r="N30" s="90">
        <f t="shared" si="3"/>
        <v>1</v>
      </c>
      <c r="O30" s="90">
        <f t="shared" si="3"/>
        <v>1</v>
      </c>
    </row>
    <row r="31" spans="1:15" x14ac:dyDescent="0.25">
      <c r="B31" s="5" t="s">
        <v>179</v>
      </c>
      <c r="C31" s="90">
        <f t="shared" si="2"/>
        <v>1</v>
      </c>
      <c r="D31" s="90">
        <f t="shared" si="2"/>
        <v>1</v>
      </c>
      <c r="E31" s="90">
        <f t="shared" si="2"/>
        <v>1</v>
      </c>
      <c r="F31" s="90">
        <f t="shared" si="2"/>
        <v>1</v>
      </c>
      <c r="G31" s="90">
        <f t="shared" si="2"/>
        <v>1</v>
      </c>
      <c r="H31" s="90">
        <f t="shared" ref="H31:K34" si="4">IF(H8=1,1,H8*0.9)</f>
        <v>1</v>
      </c>
      <c r="I31" s="90">
        <f t="shared" si="4"/>
        <v>1</v>
      </c>
      <c r="J31" s="90">
        <f t="shared" si="4"/>
        <v>1</v>
      </c>
      <c r="K31" s="90">
        <f t="shared" si="4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2"/>
        <v>1</v>
      </c>
      <c r="D32" s="90">
        <f t="shared" si="2"/>
        <v>1</v>
      </c>
      <c r="E32" s="90">
        <f t="shared" si="2"/>
        <v>1</v>
      </c>
      <c r="F32" s="90">
        <f t="shared" si="2"/>
        <v>1</v>
      </c>
      <c r="G32" s="90">
        <f t="shared" si="2"/>
        <v>1</v>
      </c>
      <c r="H32" s="90">
        <f t="shared" si="4"/>
        <v>1</v>
      </c>
      <c r="I32" s="90">
        <f t="shared" si="4"/>
        <v>1</v>
      </c>
      <c r="J32" s="90">
        <f t="shared" si="4"/>
        <v>1</v>
      </c>
      <c r="K32" s="90">
        <f t="shared" si="4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2"/>
        <v>1</v>
      </c>
      <c r="D33" s="90">
        <f t="shared" si="2"/>
        <v>1</v>
      </c>
      <c r="E33" s="90">
        <f t="shared" si="2"/>
        <v>1</v>
      </c>
      <c r="F33" s="90">
        <f t="shared" si="2"/>
        <v>1</v>
      </c>
      <c r="G33" s="90">
        <f t="shared" si="2"/>
        <v>1</v>
      </c>
      <c r="H33" s="90">
        <f t="shared" si="4"/>
        <v>1</v>
      </c>
      <c r="I33" s="90">
        <f t="shared" si="4"/>
        <v>1</v>
      </c>
      <c r="J33" s="90">
        <f t="shared" si="4"/>
        <v>1</v>
      </c>
      <c r="K33" s="90">
        <f t="shared" si="4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4"/>
        <v>1</v>
      </c>
      <c r="I34" s="90">
        <f t="shared" si="4"/>
        <v>1</v>
      </c>
      <c r="J34" s="90">
        <f t="shared" si="4"/>
        <v>1</v>
      </c>
      <c r="K34" s="90">
        <f t="shared" si="4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5">IF(C13=1,1,C13*0.9)</f>
        <v>1</v>
      </c>
      <c r="D36" s="90">
        <f t="shared" si="5"/>
        <v>1</v>
      </c>
      <c r="E36" s="90">
        <v>0.62</v>
      </c>
      <c r="F36" s="90">
        <v>0.62</v>
      </c>
      <c r="G36" s="90">
        <v>0.62</v>
      </c>
      <c r="H36" s="90">
        <f t="shared" ref="H36:O36" si="6">IF(H13=1,1,H13*0.9)</f>
        <v>1</v>
      </c>
      <c r="I36" s="90">
        <f t="shared" si="6"/>
        <v>1</v>
      </c>
      <c r="J36" s="90">
        <f t="shared" si="6"/>
        <v>1</v>
      </c>
      <c r="K36" s="90">
        <f t="shared" si="6"/>
        <v>1</v>
      </c>
      <c r="L36" s="90">
        <f t="shared" si="6"/>
        <v>1</v>
      </c>
      <c r="M36" s="90">
        <f t="shared" si="6"/>
        <v>1</v>
      </c>
      <c r="N36" s="90">
        <f t="shared" si="6"/>
        <v>1</v>
      </c>
      <c r="O36" s="90">
        <f t="shared" si="6"/>
        <v>1</v>
      </c>
    </row>
    <row r="37" spans="1:15" x14ac:dyDescent="0.25">
      <c r="B37" s="11" t="s">
        <v>189</v>
      </c>
      <c r="C37" s="90">
        <f t="shared" si="5"/>
        <v>1</v>
      </c>
      <c r="D37" s="90">
        <f t="shared" si="5"/>
        <v>1</v>
      </c>
      <c r="E37" s="90">
        <f t="shared" ref="E37:K37" si="7">IF(E14=1,1,E14*0.9)</f>
        <v>1</v>
      </c>
      <c r="F37" s="90">
        <f t="shared" si="7"/>
        <v>1</v>
      </c>
      <c r="G37" s="90">
        <f t="shared" si="7"/>
        <v>1</v>
      </c>
      <c r="H37" s="90">
        <f t="shared" si="7"/>
        <v>1</v>
      </c>
      <c r="I37" s="90">
        <f t="shared" si="7"/>
        <v>1</v>
      </c>
      <c r="J37" s="90">
        <f t="shared" si="7"/>
        <v>1</v>
      </c>
      <c r="K37" s="90">
        <f t="shared" si="7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5"/>
        <v>1</v>
      </c>
      <c r="D38" s="90">
        <f t="shared" si="5"/>
        <v>1</v>
      </c>
      <c r="E38" s="90">
        <v>0.3</v>
      </c>
      <c r="F38" s="90">
        <v>0.3</v>
      </c>
      <c r="G38" s="90">
        <f t="shared" ref="G38:O38" si="8">IF(G15=1,1,G15*0.9)</f>
        <v>1</v>
      </c>
      <c r="H38" s="90">
        <f t="shared" si="8"/>
        <v>1</v>
      </c>
      <c r="I38" s="90">
        <f t="shared" si="8"/>
        <v>1</v>
      </c>
      <c r="J38" s="90">
        <f t="shared" si="8"/>
        <v>1</v>
      </c>
      <c r="K38" s="90">
        <f t="shared" si="8"/>
        <v>1</v>
      </c>
      <c r="L38" s="90">
        <f t="shared" si="8"/>
        <v>1</v>
      </c>
      <c r="M38" s="90">
        <f t="shared" si="8"/>
        <v>1</v>
      </c>
      <c r="N38" s="90">
        <f t="shared" si="8"/>
        <v>1</v>
      </c>
      <c r="O38" s="90">
        <f t="shared" si="8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9">IF(C18=1,1,C18*0.9)</f>
        <v>1</v>
      </c>
      <c r="D41" s="90">
        <f t="shared" si="9"/>
        <v>1</v>
      </c>
      <c r="E41" s="90">
        <f t="shared" si="9"/>
        <v>1</v>
      </c>
      <c r="F41" s="90">
        <f t="shared" si="9"/>
        <v>1</v>
      </c>
      <c r="G41" s="90">
        <f t="shared" si="9"/>
        <v>1</v>
      </c>
      <c r="H41" s="90">
        <f t="shared" si="9"/>
        <v>1</v>
      </c>
      <c r="I41" s="90">
        <f t="shared" si="9"/>
        <v>1</v>
      </c>
      <c r="J41" s="90">
        <f t="shared" si="9"/>
        <v>1</v>
      </c>
      <c r="K41" s="90">
        <f t="shared" si="9"/>
        <v>1</v>
      </c>
      <c r="L41" s="90">
        <f t="shared" si="9"/>
        <v>1</v>
      </c>
      <c r="M41" s="90">
        <f t="shared" si="9"/>
        <v>1</v>
      </c>
      <c r="N41" s="90">
        <f t="shared" si="9"/>
        <v>1</v>
      </c>
      <c r="O41" s="90">
        <f t="shared" si="9"/>
        <v>1</v>
      </c>
    </row>
    <row r="42" spans="1:15" x14ac:dyDescent="0.25">
      <c r="B42" s="5" t="s">
        <v>173</v>
      </c>
      <c r="C42" s="90">
        <f t="shared" ref="C42:D44" si="10">IF(C19=1,1,C19*0.9)</f>
        <v>1</v>
      </c>
      <c r="D42" s="90">
        <f t="shared" si="10"/>
        <v>1</v>
      </c>
      <c r="E42" s="90">
        <v>0.54</v>
      </c>
      <c r="F42" s="90">
        <v>0.54</v>
      </c>
      <c r="G42" s="90">
        <v>0.54</v>
      </c>
      <c r="H42" s="90">
        <v>0.54</v>
      </c>
      <c r="I42" s="90">
        <v>0.54</v>
      </c>
      <c r="J42" s="90">
        <v>0.54</v>
      </c>
      <c r="K42" s="90">
        <v>0.54</v>
      </c>
      <c r="L42" s="90">
        <v>0.54</v>
      </c>
      <c r="M42" s="90">
        <v>0.54</v>
      </c>
      <c r="N42" s="90">
        <v>0.54</v>
      </c>
      <c r="O42" s="90">
        <v>0.54</v>
      </c>
    </row>
    <row r="43" spans="1:15" x14ac:dyDescent="0.25">
      <c r="B43" s="5" t="s">
        <v>174</v>
      </c>
      <c r="C43" s="90">
        <f t="shared" si="10"/>
        <v>1</v>
      </c>
      <c r="D43" s="90">
        <f t="shared" si="10"/>
        <v>1</v>
      </c>
      <c r="E43" s="90">
        <f t="shared" ref="E43:O43" si="11">IF(E20=1,1,E20*0.9)</f>
        <v>1</v>
      </c>
      <c r="F43" s="90">
        <f t="shared" si="11"/>
        <v>1</v>
      </c>
      <c r="G43" s="90">
        <f t="shared" si="11"/>
        <v>1</v>
      </c>
      <c r="H43" s="90">
        <f t="shared" si="11"/>
        <v>1</v>
      </c>
      <c r="I43" s="90">
        <f t="shared" si="11"/>
        <v>1</v>
      </c>
      <c r="J43" s="90">
        <f t="shared" si="11"/>
        <v>1</v>
      </c>
      <c r="K43" s="90">
        <f t="shared" si="11"/>
        <v>1</v>
      </c>
      <c r="L43" s="90">
        <f t="shared" si="11"/>
        <v>1</v>
      </c>
      <c r="M43" s="90">
        <f t="shared" si="11"/>
        <v>1</v>
      </c>
      <c r="N43" s="90">
        <f t="shared" si="11"/>
        <v>1</v>
      </c>
      <c r="O43" s="90">
        <f t="shared" si="11"/>
        <v>1</v>
      </c>
    </row>
    <row r="44" spans="1:15" x14ac:dyDescent="0.25">
      <c r="B44" s="5" t="s">
        <v>182</v>
      </c>
      <c r="C44" s="90">
        <f t="shared" si="10"/>
        <v>1</v>
      </c>
      <c r="D44" s="90">
        <f t="shared" si="10"/>
        <v>1</v>
      </c>
      <c r="E44" s="90">
        <v>0.7</v>
      </c>
      <c r="F44" s="90">
        <v>0.7</v>
      </c>
      <c r="G44" s="90">
        <v>0.7</v>
      </c>
      <c r="H44" s="90">
        <v>0.7</v>
      </c>
      <c r="I44" s="90">
        <v>0.7</v>
      </c>
      <c r="J44" s="90">
        <v>0.7</v>
      </c>
      <c r="K44" s="90">
        <v>0.7</v>
      </c>
      <c r="L44" s="90">
        <v>0.7</v>
      </c>
      <c r="M44" s="90">
        <v>0.7</v>
      </c>
      <c r="N44" s="90">
        <v>0.7</v>
      </c>
      <c r="O44" s="90">
        <v>0.7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2">IF(E3=1,1,E3*1.05)</f>
        <v>1</v>
      </c>
      <c r="F49" s="90">
        <f t="shared" si="12"/>
        <v>1</v>
      </c>
      <c r="G49" s="90">
        <f t="shared" si="12"/>
        <v>1</v>
      </c>
      <c r="H49" s="90">
        <f t="shared" si="12"/>
        <v>1</v>
      </c>
      <c r="I49" s="90">
        <f t="shared" si="12"/>
        <v>1</v>
      </c>
      <c r="J49" s="90">
        <f t="shared" si="12"/>
        <v>1</v>
      </c>
      <c r="K49" s="90">
        <f t="shared" si="12"/>
        <v>1</v>
      </c>
      <c r="L49" s="90">
        <f t="shared" si="12"/>
        <v>1</v>
      </c>
      <c r="M49" s="90">
        <f t="shared" si="12"/>
        <v>1</v>
      </c>
      <c r="N49" s="90">
        <f t="shared" si="12"/>
        <v>1</v>
      </c>
      <c r="O49" s="90">
        <f t="shared" si="12"/>
        <v>1</v>
      </c>
    </row>
    <row r="50" spans="1:15" x14ac:dyDescent="0.25">
      <c r="B50" s="11" t="s">
        <v>175</v>
      </c>
      <c r="C50" s="90">
        <f t="shared" ref="C50:G56" si="13">IF(C4=1,1,C4*1.05)</f>
        <v>1</v>
      </c>
      <c r="D50" s="90">
        <f t="shared" si="13"/>
        <v>1</v>
      </c>
      <c r="E50" s="90">
        <f t="shared" si="13"/>
        <v>1</v>
      </c>
      <c r="F50" s="90">
        <f t="shared" si="13"/>
        <v>1</v>
      </c>
      <c r="G50" s="90">
        <f t="shared" si="13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4">IF(L4=1,1,L4*1.05)</f>
        <v>1</v>
      </c>
      <c r="M50" s="90">
        <f t="shared" si="14"/>
        <v>1</v>
      </c>
      <c r="N50" s="90">
        <f t="shared" si="14"/>
        <v>1</v>
      </c>
      <c r="O50" s="90">
        <f t="shared" si="14"/>
        <v>1</v>
      </c>
    </row>
    <row r="51" spans="1:15" x14ac:dyDescent="0.25">
      <c r="B51" s="11" t="s">
        <v>176</v>
      </c>
      <c r="C51" s="90">
        <f t="shared" si="13"/>
        <v>1</v>
      </c>
      <c r="D51" s="90">
        <f t="shared" si="13"/>
        <v>1</v>
      </c>
      <c r="E51" s="90">
        <f t="shared" si="13"/>
        <v>1</v>
      </c>
      <c r="F51" s="90">
        <f t="shared" si="13"/>
        <v>1</v>
      </c>
      <c r="G51" s="90">
        <f t="shared" si="13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4"/>
        <v>1</v>
      </c>
      <c r="M51" s="90">
        <f t="shared" si="14"/>
        <v>1</v>
      </c>
      <c r="N51" s="90">
        <f t="shared" si="14"/>
        <v>1</v>
      </c>
      <c r="O51" s="90">
        <f t="shared" si="14"/>
        <v>1</v>
      </c>
    </row>
    <row r="52" spans="1:15" x14ac:dyDescent="0.25">
      <c r="B52" s="11" t="s">
        <v>177</v>
      </c>
      <c r="C52" s="90">
        <f t="shared" si="13"/>
        <v>1</v>
      </c>
      <c r="D52" s="90">
        <f t="shared" si="13"/>
        <v>1</v>
      </c>
      <c r="E52" s="90">
        <f t="shared" si="13"/>
        <v>1</v>
      </c>
      <c r="F52" s="90">
        <f t="shared" si="13"/>
        <v>1</v>
      </c>
      <c r="G52" s="90">
        <f t="shared" si="13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4"/>
        <v>1</v>
      </c>
      <c r="M52" s="90">
        <f t="shared" si="14"/>
        <v>1</v>
      </c>
      <c r="N52" s="90">
        <f t="shared" si="14"/>
        <v>1</v>
      </c>
      <c r="O52" s="90">
        <f t="shared" si="14"/>
        <v>1</v>
      </c>
    </row>
    <row r="53" spans="1:15" x14ac:dyDescent="0.25">
      <c r="B53" s="11" t="s">
        <v>178</v>
      </c>
      <c r="C53" s="90">
        <f t="shared" si="13"/>
        <v>1</v>
      </c>
      <c r="D53" s="90">
        <f t="shared" si="13"/>
        <v>1</v>
      </c>
      <c r="E53" s="90">
        <f t="shared" si="13"/>
        <v>1</v>
      </c>
      <c r="F53" s="90">
        <f t="shared" si="13"/>
        <v>1</v>
      </c>
      <c r="G53" s="90">
        <f t="shared" si="13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4"/>
        <v>1</v>
      </c>
      <c r="M53" s="90">
        <f t="shared" si="14"/>
        <v>1</v>
      </c>
      <c r="N53" s="90">
        <f t="shared" si="14"/>
        <v>1</v>
      </c>
      <c r="O53" s="90">
        <f t="shared" si="14"/>
        <v>1</v>
      </c>
    </row>
    <row r="54" spans="1:15" x14ac:dyDescent="0.25">
      <c r="B54" s="5" t="s">
        <v>179</v>
      </c>
      <c r="C54" s="90">
        <f t="shared" si="13"/>
        <v>1</v>
      </c>
      <c r="D54" s="90">
        <f t="shared" si="13"/>
        <v>1</v>
      </c>
      <c r="E54" s="90">
        <f t="shared" si="13"/>
        <v>1</v>
      </c>
      <c r="F54" s="90">
        <f t="shared" si="13"/>
        <v>1</v>
      </c>
      <c r="G54" s="90">
        <f t="shared" si="13"/>
        <v>1</v>
      </c>
      <c r="H54" s="90">
        <f t="shared" ref="H54:K57" si="15">IF(H8=1,1,H8*1.05)</f>
        <v>1</v>
      </c>
      <c r="I54" s="90">
        <f t="shared" si="15"/>
        <v>1</v>
      </c>
      <c r="J54" s="90">
        <f t="shared" si="15"/>
        <v>1</v>
      </c>
      <c r="K54" s="90">
        <f t="shared" si="15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3"/>
        <v>1</v>
      </c>
      <c r="D55" s="90">
        <f t="shared" si="13"/>
        <v>1</v>
      </c>
      <c r="E55" s="90">
        <f t="shared" si="13"/>
        <v>1</v>
      </c>
      <c r="F55" s="90">
        <f t="shared" si="13"/>
        <v>1</v>
      </c>
      <c r="G55" s="90">
        <f t="shared" si="13"/>
        <v>1</v>
      </c>
      <c r="H55" s="90">
        <f t="shared" si="15"/>
        <v>1</v>
      </c>
      <c r="I55" s="90">
        <f t="shared" si="15"/>
        <v>1</v>
      </c>
      <c r="J55" s="90">
        <f t="shared" si="15"/>
        <v>1</v>
      </c>
      <c r="K55" s="90">
        <f t="shared" si="15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3"/>
        <v>1</v>
      </c>
      <c r="D56" s="90">
        <f t="shared" si="13"/>
        <v>1</v>
      </c>
      <c r="E56" s="90">
        <f t="shared" si="13"/>
        <v>1</v>
      </c>
      <c r="F56" s="90">
        <f t="shared" si="13"/>
        <v>1</v>
      </c>
      <c r="G56" s="90">
        <f t="shared" si="13"/>
        <v>1</v>
      </c>
      <c r="H56" s="90">
        <f t="shared" si="15"/>
        <v>1</v>
      </c>
      <c r="I56" s="90">
        <f t="shared" si="15"/>
        <v>1</v>
      </c>
      <c r="J56" s="90">
        <f t="shared" si="15"/>
        <v>1</v>
      </c>
      <c r="K56" s="90">
        <f t="shared" si="15"/>
        <v>1</v>
      </c>
      <c r="L56" s="90">
        <v>0.95</v>
      </c>
      <c r="M56" s="90">
        <v>0.95</v>
      </c>
      <c r="N56" s="90">
        <v>0.95</v>
      </c>
      <c r="O56" s="90">
        <v>0.95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5"/>
        <v>1</v>
      </c>
      <c r="I57" s="90">
        <f t="shared" si="15"/>
        <v>1</v>
      </c>
      <c r="J57" s="90">
        <f t="shared" si="15"/>
        <v>1</v>
      </c>
      <c r="K57" s="90">
        <f t="shared" si="15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6">IF(C13=1,1,C13*1.05)</f>
        <v>1</v>
      </c>
      <c r="D59" s="90">
        <f t="shared" si="16"/>
        <v>1</v>
      </c>
      <c r="E59" s="90">
        <v>0.77</v>
      </c>
      <c r="F59" s="90">
        <v>0.77</v>
      </c>
      <c r="G59" s="90">
        <v>0.77</v>
      </c>
      <c r="H59" s="90">
        <f t="shared" ref="H59:O59" si="17">IF(H13=1,1,H13*1.05)</f>
        <v>1</v>
      </c>
      <c r="I59" s="90">
        <f t="shared" si="17"/>
        <v>1</v>
      </c>
      <c r="J59" s="90">
        <f t="shared" si="17"/>
        <v>1</v>
      </c>
      <c r="K59" s="90">
        <f t="shared" si="17"/>
        <v>1</v>
      </c>
      <c r="L59" s="90">
        <f t="shared" si="17"/>
        <v>1</v>
      </c>
      <c r="M59" s="90">
        <f t="shared" si="17"/>
        <v>1</v>
      </c>
      <c r="N59" s="90">
        <f t="shared" si="17"/>
        <v>1</v>
      </c>
      <c r="O59" s="90">
        <f t="shared" si="17"/>
        <v>1</v>
      </c>
    </row>
    <row r="60" spans="1:15" x14ac:dyDescent="0.25">
      <c r="B60" s="11" t="s">
        <v>189</v>
      </c>
      <c r="C60" s="90">
        <f t="shared" si="16"/>
        <v>1</v>
      </c>
      <c r="D60" s="90">
        <f t="shared" si="16"/>
        <v>1</v>
      </c>
      <c r="E60" s="90">
        <f t="shared" ref="E60:K60" si="18">IF(E14=1,1,E14*1.05)</f>
        <v>1</v>
      </c>
      <c r="F60" s="90">
        <f t="shared" si="18"/>
        <v>1</v>
      </c>
      <c r="G60" s="90">
        <f t="shared" si="18"/>
        <v>1</v>
      </c>
      <c r="H60" s="90">
        <f t="shared" si="18"/>
        <v>1</v>
      </c>
      <c r="I60" s="90">
        <f t="shared" si="18"/>
        <v>1</v>
      </c>
      <c r="J60" s="90">
        <f t="shared" si="18"/>
        <v>1</v>
      </c>
      <c r="K60" s="90">
        <f t="shared" si="18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6"/>
        <v>1</v>
      </c>
      <c r="D61" s="90">
        <f t="shared" si="16"/>
        <v>1</v>
      </c>
      <c r="E61" s="90">
        <v>0.44</v>
      </c>
      <c r="F61" s="90">
        <v>0.44</v>
      </c>
      <c r="G61" s="90">
        <f t="shared" ref="G61:O61" si="19">IF(G15=1,1,G15*1.05)</f>
        <v>1</v>
      </c>
      <c r="H61" s="90">
        <f t="shared" si="19"/>
        <v>1</v>
      </c>
      <c r="I61" s="90">
        <f t="shared" si="19"/>
        <v>1</v>
      </c>
      <c r="J61" s="90">
        <f t="shared" si="19"/>
        <v>1</v>
      </c>
      <c r="K61" s="90">
        <f t="shared" si="19"/>
        <v>1</v>
      </c>
      <c r="L61" s="90">
        <f t="shared" si="19"/>
        <v>1</v>
      </c>
      <c r="M61" s="90">
        <f t="shared" si="19"/>
        <v>1</v>
      </c>
      <c r="N61" s="90">
        <f t="shared" si="19"/>
        <v>1</v>
      </c>
      <c r="O61" s="90">
        <f t="shared" si="19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0">IF(C18=1,1,C18*1.05)</f>
        <v>1</v>
      </c>
      <c r="D64" s="90">
        <f t="shared" si="20"/>
        <v>1</v>
      </c>
      <c r="E64" s="90">
        <f t="shared" si="20"/>
        <v>1</v>
      </c>
      <c r="F64" s="90">
        <f t="shared" si="20"/>
        <v>1</v>
      </c>
      <c r="G64" s="90">
        <f t="shared" si="20"/>
        <v>1</v>
      </c>
      <c r="H64" s="90">
        <f t="shared" si="20"/>
        <v>1</v>
      </c>
      <c r="I64" s="90">
        <f t="shared" si="20"/>
        <v>1</v>
      </c>
      <c r="J64" s="90">
        <f t="shared" si="20"/>
        <v>1</v>
      </c>
      <c r="K64" s="90">
        <f t="shared" si="20"/>
        <v>1</v>
      </c>
      <c r="L64" s="90">
        <f t="shared" si="20"/>
        <v>1</v>
      </c>
      <c r="M64" s="90">
        <f t="shared" si="20"/>
        <v>1</v>
      </c>
      <c r="N64" s="90">
        <f t="shared" si="20"/>
        <v>1</v>
      </c>
      <c r="O64" s="90">
        <f t="shared" si="20"/>
        <v>1</v>
      </c>
    </row>
    <row r="65" spans="2:15" x14ac:dyDescent="0.25">
      <c r="B65" s="5" t="s">
        <v>173</v>
      </c>
      <c r="C65" s="90">
        <f t="shared" ref="C65:D67" si="21">IF(C19=1,1,C19*1.05)</f>
        <v>1</v>
      </c>
      <c r="D65" s="90">
        <f t="shared" si="21"/>
        <v>1</v>
      </c>
      <c r="E65" s="90">
        <v>0.97</v>
      </c>
      <c r="F65" s="90">
        <v>0.97</v>
      </c>
      <c r="G65" s="90">
        <v>0.97</v>
      </c>
      <c r="H65" s="90">
        <v>0.97</v>
      </c>
      <c r="I65" s="90">
        <v>0.97</v>
      </c>
      <c r="J65" s="90">
        <v>0.97</v>
      </c>
      <c r="K65" s="90">
        <v>0.97</v>
      </c>
      <c r="L65" s="90">
        <v>0.97</v>
      </c>
      <c r="M65" s="90">
        <v>0.97</v>
      </c>
      <c r="N65" s="90">
        <v>0.97</v>
      </c>
      <c r="O65" s="90">
        <v>0.97</v>
      </c>
    </row>
    <row r="66" spans="2:15" x14ac:dyDescent="0.25">
      <c r="B66" s="5" t="s">
        <v>174</v>
      </c>
      <c r="C66" s="90">
        <f t="shared" si="21"/>
        <v>1</v>
      </c>
      <c r="D66" s="90">
        <f t="shared" si="21"/>
        <v>1</v>
      </c>
      <c r="E66" s="90">
        <f t="shared" ref="E66:O66" si="22">IF(E20=1,1,E20*1.05)</f>
        <v>1</v>
      </c>
      <c r="F66" s="90">
        <f t="shared" si="22"/>
        <v>1</v>
      </c>
      <c r="G66" s="90">
        <f t="shared" si="22"/>
        <v>1</v>
      </c>
      <c r="H66" s="90">
        <f t="shared" si="22"/>
        <v>1</v>
      </c>
      <c r="I66" s="90">
        <f t="shared" si="22"/>
        <v>1</v>
      </c>
      <c r="J66" s="90">
        <f t="shared" si="22"/>
        <v>1</v>
      </c>
      <c r="K66" s="90">
        <f t="shared" si="22"/>
        <v>1</v>
      </c>
      <c r="L66" s="90">
        <f t="shared" si="22"/>
        <v>1</v>
      </c>
      <c r="M66" s="90">
        <f t="shared" si="22"/>
        <v>1</v>
      </c>
      <c r="N66" s="90">
        <f t="shared" si="22"/>
        <v>1</v>
      </c>
      <c r="O66" s="90">
        <f t="shared" si="22"/>
        <v>1</v>
      </c>
    </row>
    <row r="67" spans="2:15" x14ac:dyDescent="0.25">
      <c r="B67" s="5" t="s">
        <v>182</v>
      </c>
      <c r="C67" s="90">
        <f t="shared" si="21"/>
        <v>1</v>
      </c>
      <c r="D67" s="90">
        <f t="shared" si="21"/>
        <v>1</v>
      </c>
      <c r="E67" s="90">
        <v>0.92</v>
      </c>
      <c r="F67" s="90">
        <v>0.92</v>
      </c>
      <c r="G67" s="90">
        <v>0.92</v>
      </c>
      <c r="H67" s="90">
        <v>0.92</v>
      </c>
      <c r="I67" s="90">
        <v>0.92</v>
      </c>
      <c r="J67" s="90">
        <v>0.92</v>
      </c>
      <c r="K67" s="90">
        <v>0.92</v>
      </c>
      <c r="L67" s="90">
        <v>0.92</v>
      </c>
      <c r="M67" s="90">
        <v>0.92</v>
      </c>
      <c r="N67" s="90">
        <v>0.92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0.88865382474112009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3" sqref="D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1/1.33</f>
        <v>0.75187969924812026</v>
      </c>
      <c r="E3" s="90">
        <f>1/1.33</f>
        <v>0.75187969924812026</v>
      </c>
      <c r="F3" s="90">
        <f>1/1.33</f>
        <v>0.75187969924812026</v>
      </c>
      <c r="G3" s="90">
        <f>1/1.33</f>
        <v>0.75187969924812026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1/1.33</f>
        <v>0.75187969924812026</v>
      </c>
      <c r="E5" s="90">
        <f>1/1.33</f>
        <v>0.75187969924812026</v>
      </c>
      <c r="F5" s="90">
        <f>1/1.33</f>
        <v>0.75187969924812026</v>
      </c>
      <c r="G5" s="90">
        <f>1/1.33</f>
        <v>0.75187969924812026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v>1</v>
      </c>
      <c r="D10" s="90">
        <f>1/1.54</f>
        <v>0.64935064935064934</v>
      </c>
      <c r="E10" s="90">
        <f>1/1.54</f>
        <v>0.64935064935064934</v>
      </c>
      <c r="F10" s="90">
        <f>1/1.54</f>
        <v>0.64935064935064934</v>
      </c>
      <c r="G10" s="90">
        <f>1/1.54</f>
        <v>0.64935064935064934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v>1</v>
      </c>
      <c r="D12" s="90">
        <f>1/1.54</f>
        <v>0.64935064935064934</v>
      </c>
      <c r="E12" s="90">
        <f>1/1.54</f>
        <v>0.64935064935064934</v>
      </c>
      <c r="F12" s="90">
        <f>1/1.54</f>
        <v>0.64935064935064934</v>
      </c>
      <c r="G12" s="90">
        <f>1/1.54</f>
        <v>0.64935064935064934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v>1</v>
      </c>
      <c r="D17" s="90">
        <f>1/1.16</f>
        <v>0.86206896551724144</v>
      </c>
      <c r="E17" s="90">
        <f>1/1.16</f>
        <v>0.86206896551724144</v>
      </c>
      <c r="F17" s="90">
        <f>1/1.16</f>
        <v>0.86206896551724144</v>
      </c>
      <c r="G17" s="90">
        <f>1/1.16</f>
        <v>0.86206896551724144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v>1</v>
      </c>
      <c r="D19" s="90">
        <f>1/1.16</f>
        <v>0.86206896551724144</v>
      </c>
      <c r="E19" s="90">
        <f>1/1.16</f>
        <v>0.86206896551724144</v>
      </c>
      <c r="F19" s="90">
        <f>1/1.16</f>
        <v>0.86206896551724144</v>
      </c>
      <c r="G19" s="90">
        <f>1/1.16</f>
        <v>0.86206896551724144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53" zoomScale="80" zoomScaleNormal="80" workbookViewId="0">
      <selection activeCell="D50" sqref="D50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0.32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0.14000000000000001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0.47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53" sqref="D53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(2024)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3.9490007898001562E-4</v>
      </c>
    </row>
    <row r="4" spans="1:8" ht="15.75" customHeight="1" x14ac:dyDescent="0.25">
      <c r="B4" s="19" t="s">
        <v>69</v>
      </c>
      <c r="C4" s="101">
        <v>6.7987713597542757E-2</v>
      </c>
    </row>
    <row r="5" spans="1:8" ht="15.75" customHeight="1" x14ac:dyDescent="0.25">
      <c r="B5" s="19" t="s">
        <v>70</v>
      </c>
      <c r="C5" s="101">
        <v>4.5168509033701752E-2</v>
      </c>
    </row>
    <row r="6" spans="1:8" ht="15.75" customHeight="1" x14ac:dyDescent="0.25">
      <c r="B6" s="19" t="s">
        <v>71</v>
      </c>
      <c r="C6" s="101">
        <v>0.16706933341386659</v>
      </c>
    </row>
    <row r="7" spans="1:8" ht="15.75" customHeight="1" x14ac:dyDescent="0.25">
      <c r="B7" s="19" t="s">
        <v>72</v>
      </c>
      <c r="C7" s="101">
        <v>0.42742528548505748</v>
      </c>
    </row>
    <row r="8" spans="1:8" ht="15.75" customHeight="1" x14ac:dyDescent="0.25">
      <c r="B8" s="19" t="s">
        <v>73</v>
      </c>
      <c r="C8" s="101">
        <v>4.3700008740001817E-5</v>
      </c>
    </row>
    <row r="9" spans="1:8" ht="15.75" customHeight="1" x14ac:dyDescent="0.25">
      <c r="B9" s="19" t="s">
        <v>74</v>
      </c>
      <c r="C9" s="101">
        <v>0.19184183836836749</v>
      </c>
    </row>
    <row r="10" spans="1:8" ht="15.75" customHeight="1" x14ac:dyDescent="0.25">
      <c r="B10" s="19" t="s">
        <v>75</v>
      </c>
      <c r="C10" s="101">
        <v>0.10006872001374389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8.9962548660723382E-2</v>
      </c>
      <c r="D14" s="55">
        <v>8.9962548660723382E-2</v>
      </c>
      <c r="E14" s="55">
        <v>8.9962548660723382E-2</v>
      </c>
      <c r="F14" s="55">
        <v>8.9962548660723382E-2</v>
      </c>
    </row>
    <row r="15" spans="1:8" ht="15.75" customHeight="1" x14ac:dyDescent="0.25">
      <c r="B15" s="19" t="s">
        <v>82</v>
      </c>
      <c r="C15" s="101">
        <v>0.47128850428328262</v>
      </c>
      <c r="D15" s="101">
        <v>0.47128850428328262</v>
      </c>
      <c r="E15" s="101">
        <v>0.47128850428328262</v>
      </c>
      <c r="F15" s="101">
        <v>0.47128850428328262</v>
      </c>
    </row>
    <row r="16" spans="1:8" ht="15.75" customHeight="1" x14ac:dyDescent="0.25">
      <c r="B16" s="19" t="s">
        <v>83</v>
      </c>
      <c r="C16" s="101">
        <v>2.1451893525098679E-2</v>
      </c>
      <c r="D16" s="101">
        <v>2.1451893525098679E-2</v>
      </c>
      <c r="E16" s="101">
        <v>2.1451893525098679E-2</v>
      </c>
      <c r="F16" s="101">
        <v>2.1451893525098679E-2</v>
      </c>
    </row>
    <row r="17" spans="1:8" ht="15.75" customHeight="1" x14ac:dyDescent="0.25">
      <c r="B17" s="19" t="s">
        <v>84</v>
      </c>
      <c r="C17" s="101">
        <v>4.399615969642604E-3</v>
      </c>
      <c r="D17" s="101">
        <v>4.399615969642604E-3</v>
      </c>
      <c r="E17" s="101">
        <v>4.399615969642604E-3</v>
      </c>
      <c r="F17" s="101">
        <v>4.399615969642604E-3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8.5593931275366152E-3</v>
      </c>
      <c r="D19" s="101">
        <v>8.5593931275366152E-3</v>
      </c>
      <c r="E19" s="101">
        <v>8.5593931275366152E-3</v>
      </c>
      <c r="F19" s="101">
        <v>8.5593931275366152E-3</v>
      </c>
    </row>
    <row r="20" spans="1:8" ht="15.75" customHeight="1" x14ac:dyDescent="0.25">
      <c r="B20" s="19" t="s">
        <v>87</v>
      </c>
      <c r="C20" s="101">
        <v>2.388630710131014E-2</v>
      </c>
      <c r="D20" s="101">
        <v>2.388630710131014E-2</v>
      </c>
      <c r="E20" s="101">
        <v>2.388630710131014E-2</v>
      </c>
      <c r="F20" s="101">
        <v>2.388630710131014E-2</v>
      </c>
    </row>
    <row r="21" spans="1:8" ht="15.75" customHeight="1" x14ac:dyDescent="0.25">
      <c r="B21" s="19" t="s">
        <v>88</v>
      </c>
      <c r="C21" s="101">
        <v>0.32209522878253438</v>
      </c>
      <c r="D21" s="101">
        <v>0.32209522878253438</v>
      </c>
      <c r="E21" s="101">
        <v>0.32209522878253438</v>
      </c>
      <c r="F21" s="101">
        <v>0.32209522878253438</v>
      </c>
    </row>
    <row r="22" spans="1:8" ht="15.75" customHeight="1" x14ac:dyDescent="0.25">
      <c r="B22" s="19" t="s">
        <v>89</v>
      </c>
      <c r="C22" s="101">
        <v>5.8356508549871497E-2</v>
      </c>
      <c r="D22" s="101">
        <v>5.8356508549871497E-2</v>
      </c>
      <c r="E22" s="101">
        <v>5.8356508549871497E-2</v>
      </c>
      <c r="F22" s="101">
        <v>5.8356508549871497E-2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3.8186174000000003E-2</v>
      </c>
    </row>
    <row r="27" spans="1:8" ht="15.75" customHeight="1" x14ac:dyDescent="0.25">
      <c r="B27" s="19" t="s">
        <v>92</v>
      </c>
      <c r="C27" s="101">
        <v>3.5979345000000003E-2</v>
      </c>
    </row>
    <row r="28" spans="1:8" ht="15.75" customHeight="1" x14ac:dyDescent="0.25">
      <c r="B28" s="19" t="s">
        <v>93</v>
      </c>
      <c r="C28" s="101">
        <v>0.17918920699999999</v>
      </c>
    </row>
    <row r="29" spans="1:8" ht="15.75" customHeight="1" x14ac:dyDescent="0.25">
      <c r="B29" s="19" t="s">
        <v>94</v>
      </c>
      <c r="C29" s="101">
        <v>9.3383905000000003E-2</v>
      </c>
    </row>
    <row r="30" spans="1:8" ht="15.75" customHeight="1" x14ac:dyDescent="0.25">
      <c r="B30" s="19" t="s">
        <v>95</v>
      </c>
      <c r="C30" s="101">
        <v>4.2695289999999983E-2</v>
      </c>
    </row>
    <row r="31" spans="1:8" ht="15.75" customHeight="1" x14ac:dyDescent="0.25">
      <c r="B31" s="19" t="s">
        <v>96</v>
      </c>
      <c r="C31" s="101">
        <v>0.135273369</v>
      </c>
    </row>
    <row r="32" spans="1:8" ht="15.75" customHeight="1" x14ac:dyDescent="0.25">
      <c r="B32" s="19" t="s">
        <v>97</v>
      </c>
      <c r="C32" s="101">
        <v>0.18705686599999999</v>
      </c>
    </row>
    <row r="33" spans="2:3" ht="15.75" customHeight="1" x14ac:dyDescent="0.25">
      <c r="B33" s="19" t="s">
        <v>98</v>
      </c>
      <c r="C33" s="101">
        <v>0.13805392899999999</v>
      </c>
    </row>
    <row r="34" spans="2:3" ht="15.75" customHeight="1" x14ac:dyDescent="0.25">
      <c r="B34" s="19" t="s">
        <v>99</v>
      </c>
      <c r="C34" s="101">
        <v>0.150181916</v>
      </c>
    </row>
    <row r="35" spans="2:3" ht="15.75" customHeight="1" x14ac:dyDescent="0.25">
      <c r="B35" s="27" t="s">
        <v>30</v>
      </c>
      <c r="C35" s="48">
        <f>SUM(C26:C34)</f>
        <v>1.0000000009999999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(2024)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0.71991406732802443</v>
      </c>
      <c r="D2" s="52">
        <f>IFERROR(1-_xlfn.NORM.DIST(_xlfn.NORM.INV(SUM(D4:D5), 0, 1) + 1, 0, 1, TRUE), "")</f>
        <v>0.71991406732802443</v>
      </c>
      <c r="E2" s="52">
        <f>IFERROR(1-_xlfn.NORM.DIST(_xlfn.NORM.INV(SUM(E4:E5), 0, 1) + 1, 0, 1, TRUE), "")</f>
        <v>0.69603791482324251</v>
      </c>
      <c r="F2" s="52">
        <f>IFERROR(1-_xlfn.NORM.DIST(_xlfn.NORM.INV(SUM(F4:F5), 0, 1) + 1, 0, 1, TRUE), "")</f>
        <v>0.71878964149994229</v>
      </c>
      <c r="G2" s="52">
        <f>IFERROR(1-_xlfn.NORM.DIST(_xlfn.NORM.INV(SUM(G4:G5), 0, 1) + 1, 0, 1, TRUE), "")</f>
        <v>0.65385158335828997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0.22332803267197551</v>
      </c>
      <c r="D3" s="52">
        <f>IFERROR(_xlfn.NORM.DIST(_xlfn.NORM.INV(SUM(D4:D5), 0, 1) + 1, 0, 1, TRUE) - SUM(D4:D5), "")</f>
        <v>0.22332803267197551</v>
      </c>
      <c r="E3" s="52">
        <f>IFERROR(_xlfn.NORM.DIST(_xlfn.NORM.INV(SUM(E4:E5), 0, 1) + 1, 0, 1, TRUE) - SUM(E4:E5), "")</f>
        <v>0.23882718517675744</v>
      </c>
      <c r="F3" s="52">
        <f>IFERROR(_xlfn.NORM.DIST(_xlfn.NORM.INV(SUM(F4:F5), 0, 1) + 1, 0, 1, TRUE) - SUM(F4:F5), "")</f>
        <v>0.2240709585000577</v>
      </c>
      <c r="G3" s="52">
        <f>IFERROR(_xlfn.NORM.DIST(_xlfn.NORM.INV(SUM(G4:G5), 0, 1) + 1, 0, 1, TRUE) - SUM(G4:G5), "")</f>
        <v>0.26475201664171005</v>
      </c>
    </row>
    <row r="4" spans="1:15" ht="15.75" customHeight="1" x14ac:dyDescent="0.25">
      <c r="B4" s="5" t="s">
        <v>104</v>
      </c>
      <c r="C4" s="45">
        <v>3.2299599999999998E-2</v>
      </c>
      <c r="D4" s="53">
        <v>3.2299599999999998E-2</v>
      </c>
      <c r="E4" s="53">
        <v>2.3189100000000001E-2</v>
      </c>
      <c r="F4" s="53">
        <v>3.1199399999999999E-2</v>
      </c>
      <c r="G4" s="53">
        <v>4.7052899999999988E-2</v>
      </c>
    </row>
    <row r="5" spans="1:15" ht="15.75" customHeight="1" x14ac:dyDescent="0.25">
      <c r="B5" s="5" t="s">
        <v>105</v>
      </c>
      <c r="C5" s="45">
        <v>2.4458299999999999E-2</v>
      </c>
      <c r="D5" s="53">
        <v>2.4458299999999999E-2</v>
      </c>
      <c r="E5" s="53">
        <v>4.1945800000000012E-2</v>
      </c>
      <c r="F5" s="53">
        <v>2.5940000000000001E-2</v>
      </c>
      <c r="G5" s="53">
        <v>3.4343499999999999E-2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0.65561821603473891</v>
      </c>
      <c r="D8" s="52">
        <f>IFERROR(1-_xlfn.NORM.DIST(_xlfn.NORM.INV(SUM(D10:D11), 0, 1) + 1, 0, 1, TRUE), "")</f>
        <v>0.65561821603473891</v>
      </c>
      <c r="E8" s="52">
        <f>IFERROR(1-_xlfn.NORM.DIST(_xlfn.NORM.INV(SUM(E10:E11), 0, 1) + 1, 0, 1, TRUE), "")</f>
        <v>0.67788556299605163</v>
      </c>
      <c r="F8" s="52">
        <f>IFERROR(1-_xlfn.NORM.DIST(_xlfn.NORM.INV(SUM(F10:F11), 0, 1) + 1, 0, 1, TRUE), "")</f>
        <v>0.78090906818077377</v>
      </c>
      <c r="G8" s="52">
        <f>IFERROR(1-_xlfn.NORM.DIST(_xlfn.NORM.INV(SUM(G10:G11), 0, 1) + 1, 0, 1, TRUE), "")</f>
        <v>0.7805327279926525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0.2637049839652611</v>
      </c>
      <c r="D9" s="52">
        <f>IFERROR(_xlfn.NORM.DIST(_xlfn.NORM.INV(SUM(D10:D11), 0, 1) + 1, 0, 1, TRUE) - SUM(D10:D11), "")</f>
        <v>0.2637049839652611</v>
      </c>
      <c r="E9" s="52">
        <f>IFERROR(_xlfn.NORM.DIST(_xlfn.NORM.INV(SUM(E10:E11), 0, 1) + 1, 0, 1, TRUE) - SUM(E10:E11), "")</f>
        <v>0.25021563700394839</v>
      </c>
      <c r="F9" s="52">
        <f>IFERROR(_xlfn.NORM.DIST(_xlfn.NORM.INV(SUM(F10:F11), 0, 1) + 1, 0, 1, TRUE) - SUM(F10:F11), "")</f>
        <v>0.18116403181922625</v>
      </c>
      <c r="G9" s="52">
        <f>IFERROR(_xlfn.NORM.DIST(_xlfn.NORM.INV(SUM(G10:G11), 0, 1) + 1, 0, 1, TRUE) - SUM(G10:G11), "")</f>
        <v>0.18143517200734749</v>
      </c>
    </row>
    <row r="10" spans="1:15" ht="15.75" customHeight="1" x14ac:dyDescent="0.25">
      <c r="B10" s="5" t="s">
        <v>109</v>
      </c>
      <c r="C10" s="45">
        <v>3.7755499999999997E-2</v>
      </c>
      <c r="D10" s="53">
        <v>3.7755499999999997E-2</v>
      </c>
      <c r="E10" s="53">
        <v>5.1403200000000003E-2</v>
      </c>
      <c r="F10" s="53">
        <v>3.3150300000000001E-2</v>
      </c>
      <c r="G10" s="53">
        <v>3.0782299999999999E-2</v>
      </c>
    </row>
    <row r="11" spans="1:15" ht="15.75" customHeight="1" x14ac:dyDescent="0.25">
      <c r="B11" s="5" t="s">
        <v>110</v>
      </c>
      <c r="C11" s="45">
        <v>4.2921300000000003E-2</v>
      </c>
      <c r="D11" s="53">
        <v>4.2921300000000003E-2</v>
      </c>
      <c r="E11" s="53">
        <v>2.0495599999999999E-2</v>
      </c>
      <c r="F11" s="53">
        <v>4.7765999999999998E-3</v>
      </c>
      <c r="G11" s="53">
        <v>7.2497999999999998E-3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0.58198644774999997</v>
      </c>
      <c r="D14" s="54">
        <v>0.553427985096</v>
      </c>
      <c r="E14" s="54">
        <v>0.553427985096</v>
      </c>
      <c r="F14" s="54">
        <v>0.36485581126</v>
      </c>
      <c r="G14" s="54">
        <v>0.36485581126</v>
      </c>
      <c r="H14" s="45">
        <v>0.39</v>
      </c>
      <c r="I14" s="55">
        <v>0.39</v>
      </c>
      <c r="J14" s="55">
        <v>0.39</v>
      </c>
      <c r="K14" s="55">
        <v>0.39</v>
      </c>
      <c r="L14" s="45">
        <v>0.30599999999999999</v>
      </c>
      <c r="M14" s="55">
        <v>0.30599999999999999</v>
      </c>
      <c r="N14" s="55">
        <v>0.30599999999999999</v>
      </c>
      <c r="O14" s="55">
        <v>0.30599999999999999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0.28106744500862374</v>
      </c>
      <c r="D15" s="52">
        <f t="shared" si="0"/>
        <v>0.26727527826218772</v>
      </c>
      <c r="E15" s="52">
        <f t="shared" si="0"/>
        <v>0.26727527826218772</v>
      </c>
      <c r="F15" s="52">
        <f t="shared" si="0"/>
        <v>0.17620528976896072</v>
      </c>
      <c r="G15" s="52">
        <f t="shared" si="0"/>
        <v>0.17620528976896072</v>
      </c>
      <c r="H15" s="52">
        <f t="shared" si="0"/>
        <v>0.18834855</v>
      </c>
      <c r="I15" s="52">
        <f t="shared" si="0"/>
        <v>0.18834855</v>
      </c>
      <c r="J15" s="52">
        <f t="shared" si="0"/>
        <v>0.18834855</v>
      </c>
      <c r="K15" s="52">
        <f t="shared" si="0"/>
        <v>0.18834855</v>
      </c>
      <c r="L15" s="52">
        <f t="shared" si="0"/>
        <v>0.14778116999999999</v>
      </c>
      <c r="M15" s="52">
        <f t="shared" si="0"/>
        <v>0.14778116999999999</v>
      </c>
      <c r="N15" s="52">
        <f t="shared" si="0"/>
        <v>0.14778116999999999</v>
      </c>
      <c r="O15" s="52">
        <f t="shared" si="0"/>
        <v>0.14778116999999999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(2024)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0.63254330000000003</v>
      </c>
      <c r="D2" s="53">
        <v>0.39031369999999999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5.8057499999999998E-2</v>
      </c>
      <c r="D3" s="53">
        <v>0.14022200000000001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0.2716944</v>
      </c>
      <c r="D4" s="53">
        <v>0.33379629999999999</v>
      </c>
      <c r="E4" s="53">
        <v>0.65952209999999989</v>
      </c>
      <c r="F4" s="53">
        <v>0.45808939999999998</v>
      </c>
      <c r="G4" s="53">
        <v>0</v>
      </c>
    </row>
    <row r="5" spans="1:7" x14ac:dyDescent="0.25">
      <c r="B5" s="3" t="s">
        <v>122</v>
      </c>
      <c r="C5" s="52">
        <v>3.7704799999999997E-2</v>
      </c>
      <c r="D5" s="52">
        <v>0.13566800000000001</v>
      </c>
      <c r="E5" s="52">
        <f>1-SUM(E2:E4)</f>
        <v>0.34047790000000011</v>
      </c>
      <c r="F5" s="52">
        <f>1-SUM(F2:F4)</f>
        <v>0.54191060000000002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DB4B0A5FF4A85E5854FA9B1BD84" ma:contentTypeVersion="6" ma:contentTypeDescription="Create a new document." ma:contentTypeScope="" ma:versionID="107b52809c0cc4b5077f1ac81d3c69cc">
  <xsd:schema xmlns:xsd="http://www.w3.org/2001/XMLSchema" xmlns:xs="http://www.w3.org/2001/XMLSchema" xmlns:p="http://schemas.microsoft.com/office/2006/metadata/properties" xmlns:ns2="5de2aea6-bdc3-4e5f-b0ae-84d85b5764e4" targetNamespace="http://schemas.microsoft.com/office/2006/metadata/properties" ma:root="true" ma:fieldsID="82b7e1b740270cfb0676be859a78f3d0" ns2:_="">
    <xsd:import namespace="5de2aea6-bdc3-4e5f-b0ae-84d85b5764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2aea6-bdc3-4e5f-b0ae-84d85b5764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2A9666-69F5-43AD-9251-541EC1E64B42}"/>
</file>

<file path=customXml/itemProps2.xml><?xml version="1.0" encoding="utf-8"?>
<ds:datastoreItem xmlns:ds="http://schemas.openxmlformats.org/officeDocument/2006/customXml" ds:itemID="{CA70F71D-3FBC-4245-8974-5C5DEBE738C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2024-03-26T04:24:31Z</dcterms:modified>
</cp:coreProperties>
</file>