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12.xml" ContentType="application/vnd.openxmlformats-officedocument.spreadsheetml.comments+xml"/>
  <Override PartName="/xl/comments8.xml" ContentType="application/vnd.openxmlformats-officedocument.spreadsheetml.comments+xml"/>
  <Override PartName="/xl/comments13.xml" ContentType="application/vnd.openxmlformats-officedocument.spreadsheetml.comments+xml"/>
  <Override PartName="/xl/comments10.xml" ContentType="application/vnd.openxmlformats-officedocument.spreadsheetml.comments+xml"/>
  <Override PartName="/xl/comments14.xml" ContentType="application/vnd.openxmlformats-officedocument.spreadsheetml.comments+xml"/>
  <Override PartName="/xl/comments7.xml" ContentType="application/vnd.openxmlformats-officedocument.spreadsheetml.comments+xml"/>
  <Override PartName="/xl/comments1.xml" ContentType="application/vnd.openxmlformats-officedocument.spreadsheetml.comments+xml"/>
  <Override PartName="/xl/comments15.xml" ContentType="application/vnd.openxmlformats-officedocument.spreadsheetml.comments+xml"/>
  <Override PartName="/xl/comments11.xml" ContentType="application/vnd.openxmlformats-officedocument.spreadsheetml.comments+xml"/>
  <Override PartName="/xl/comments16.xml" ContentType="application/vnd.openxmlformats-officedocument.spreadsheetml.comments+xml"/>
  <Override PartName="/xl/comments9.xml" ContentType="application/vnd.openxmlformats-officedocument.spreadsheetml.comments+xml"/>
  <Override PartName="/xl/comments17.xml" ContentType="application/vnd.openxmlformats-officedocument.spreadsheetml.comments+xml"/>
  <Override PartName="/xl/comments6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omments5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LiST Optima bridge\App\en\"/>
    </mc:Choice>
  </mc:AlternateContent>
  <xr:revisionPtr revIDLastSave="0" documentId="8_{DCE892A2-6947-41A9-8A66-6F4F697AFC65}" xr6:coauthVersionLast="47" xr6:coauthVersionMax="47" xr10:uidLastSave="{00000000-0000-0000-0000-000000000000}"/>
  <bookViews>
    <workbookView xWindow="0" yWindow="3670" windowWidth="19200" windowHeight="6530" tabRatio="961" firstSheet="8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F152" i="27"/>
  <c r="E152" i="27"/>
  <c r="D152" i="27"/>
  <c r="H136" i="27"/>
  <c r="G136" i="27"/>
  <c r="F136" i="27"/>
  <c r="E136" i="27"/>
  <c r="H135" i="27"/>
  <c r="G135" i="27"/>
  <c r="F135" i="27"/>
  <c r="E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E130" i="27"/>
  <c r="D130" i="27"/>
  <c r="H129" i="27"/>
  <c r="G129" i="27"/>
  <c r="F129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E112" i="27"/>
  <c r="D112" i="27"/>
  <c r="H97" i="27"/>
  <c r="H152" i="27" s="1"/>
  <c r="G97" i="27"/>
  <c r="G152" i="27" s="1"/>
  <c r="F97" i="27"/>
  <c r="E97" i="27"/>
  <c r="D97" i="27"/>
  <c r="H81" i="27"/>
  <c r="G81" i="27"/>
  <c r="F81" i="27"/>
  <c r="E81" i="27"/>
  <c r="H80" i="27"/>
  <c r="G80" i="27"/>
  <c r="F80" i="27"/>
  <c r="E80" i="27"/>
  <c r="D80" i="27"/>
  <c r="D135" i="27" s="1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D131" i="27" s="1"/>
  <c r="E75" i="27"/>
  <c r="D75" i="27"/>
  <c r="H74" i="27"/>
  <c r="G74" i="27"/>
  <c r="F74" i="27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H112" i="27" s="1"/>
  <c r="G57" i="27"/>
  <c r="G112" i="27" s="1"/>
  <c r="F57" i="27"/>
  <c r="F112" i="27" s="1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D115" i="20"/>
  <c r="H114" i="20"/>
  <c r="G114" i="20"/>
  <c r="F114" i="20"/>
  <c r="D114" i="20"/>
  <c r="H113" i="20"/>
  <c r="G113" i="20"/>
  <c r="F113" i="20"/>
  <c r="E113" i="20"/>
  <c r="D113" i="20"/>
  <c r="H112" i="20"/>
  <c r="G112" i="20"/>
  <c r="F112" i="20"/>
  <c r="E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D62" i="20"/>
  <c r="H61" i="20"/>
  <c r="G61" i="20"/>
  <c r="F61" i="20"/>
  <c r="D61" i="20"/>
  <c r="H60" i="20"/>
  <c r="G60" i="20"/>
  <c r="F60" i="20"/>
  <c r="E60" i="20"/>
  <c r="D60" i="20"/>
  <c r="H59" i="20"/>
  <c r="G59" i="20"/>
  <c r="F59" i="20"/>
  <c r="E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I39" i="2"/>
  <c r="H39" i="2"/>
  <c r="G39" i="2"/>
  <c r="A39" i="2"/>
  <c r="H38" i="2"/>
  <c r="G38" i="2"/>
  <c r="I38" i="2" s="1"/>
  <c r="A37" i="2"/>
  <c r="A36" i="2"/>
  <c r="A35" i="2"/>
  <c r="A34" i="2"/>
  <c r="A32" i="2"/>
  <c r="A31" i="2"/>
  <c r="A29" i="2"/>
  <c r="A28" i="2"/>
  <c r="A27" i="2"/>
  <c r="A26" i="2"/>
  <c r="A24" i="2"/>
  <c r="A23" i="2"/>
  <c r="A21" i="2"/>
  <c r="A20" i="2"/>
  <c r="A19" i="2"/>
  <c r="A18" i="2"/>
  <c r="A16" i="2"/>
  <c r="A15" i="2"/>
  <c r="I13" i="2"/>
  <c r="H13" i="2"/>
  <c r="G13" i="2"/>
  <c r="H12" i="2"/>
  <c r="G12" i="2"/>
  <c r="I12" i="2" s="1"/>
  <c r="I11" i="2"/>
  <c r="H11" i="2"/>
  <c r="G11" i="2"/>
  <c r="H10" i="2"/>
  <c r="G10" i="2"/>
  <c r="I10" i="2" s="1"/>
  <c r="I9" i="2"/>
  <c r="H9" i="2"/>
  <c r="G9" i="2"/>
  <c r="H8" i="2"/>
  <c r="G8" i="2"/>
  <c r="I8" i="2" s="1"/>
  <c r="I7" i="2"/>
  <c r="H7" i="2"/>
  <c r="G7" i="2"/>
  <c r="H6" i="2"/>
  <c r="G6" i="2"/>
  <c r="I6" i="2" s="1"/>
  <c r="I5" i="2"/>
  <c r="H5" i="2"/>
  <c r="G5" i="2"/>
  <c r="H4" i="2"/>
  <c r="G4" i="2"/>
  <c r="I4" i="2" s="1"/>
  <c r="I3" i="2"/>
  <c r="H3" i="2"/>
  <c r="G3" i="2"/>
  <c r="A3" i="2"/>
  <c r="H2" i="2"/>
  <c r="G2" i="2"/>
  <c r="I2" i="2" s="1"/>
  <c r="A2" i="2"/>
  <c r="A33" i="2" s="1"/>
  <c r="C33" i="1"/>
  <c r="C20" i="1"/>
  <c r="A4" i="2" l="1"/>
  <c r="A5" i="2" s="1"/>
  <c r="A6" i="2" s="1"/>
  <c r="A7" i="2" s="1"/>
  <c r="A8" i="2" s="1"/>
  <c r="A9" i="2" s="1"/>
  <c r="A10" i="2" s="1"/>
  <c r="A11" i="2" s="1"/>
  <c r="A12" i="2" s="1"/>
  <c r="A13" i="2" s="1"/>
  <c r="A14" i="2"/>
  <c r="A22" i="2"/>
  <c r="A30" i="2"/>
  <c r="A38" i="2"/>
  <c r="A40" i="2"/>
  <c r="A17" i="2"/>
  <c r="A2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Sivanandan &amp; Sankar 2023, neonatal RR 0.68 (0.53-0.86)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Sivanandan &amp; Sankar 2023, neonatal RR 0.68 (0.53-0.86)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Sivanandan &amp; Sankar 2023, neonatal RR 0.68 (0.53-0.86)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<sst xmlns="http://schemas.openxmlformats.org/spreadsheetml/2006/main" count="2092" uniqueCount="341">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</sst>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C7" sqref="C7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0</v>
      </c>
      <c r="B1" s="29" t="s">
        <v>1</v>
      </c>
      <c r="C1" s="29" t="s">
        <v>2</v>
      </c>
    </row>
    <row r="2" spans="1:3" ht="15.9" customHeight="1" x14ac:dyDescent="0.3">
      <c r="A2" s="8" t="s">
        <v>3</v>
      </c>
      <c r="B2" s="29"/>
      <c r="C2" s="29"/>
    </row>
    <row r="3" spans="1:3" ht="15.9" customHeight="1" x14ac:dyDescent="0.3">
      <c r="A3" s="1"/>
      <c r="B3" s="5" t="s">
        <v>4</v>
      </c>
      <c r="C3" s="41">
        <v>2024</v>
      </c>
    </row>
    <row r="4" spans="1:3" ht="15.9" customHeight="1" x14ac:dyDescent="0.3">
      <c r="A4" s="1"/>
      <c r="B4" s="5" t="s">
        <v>5</v>
      </c>
      <c r="C4" s="42">
        <v>2035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4397300.34375</v>
      </c>
    </row>
    <row r="8" spans="1:3" ht="15" customHeight="1" x14ac:dyDescent="0.25">
      <c r="B8" s="5" t="s">
        <v>8</v>
      </c>
      <c r="C8" s="44">
        <v>0.13300000000000001</v>
      </c>
    </row>
    <row r="9" spans="1:3" ht="15" customHeight="1" x14ac:dyDescent="0.25">
      <c r="B9" s="5" t="s">
        <v>9</v>
      </c>
      <c r="C9" s="45">
        <v>0.98</v>
      </c>
    </row>
    <row r="10" spans="1:3" ht="15" customHeight="1" x14ac:dyDescent="0.25">
      <c r="B10" s="5" t="s">
        <v>10</v>
      </c>
      <c r="C10" s="45">
        <v>0.56591400146484405</v>
      </c>
    </row>
    <row r="11" spans="1:3" ht="15" customHeight="1" x14ac:dyDescent="0.25">
      <c r="B11" s="5" t="s">
        <v>11</v>
      </c>
      <c r="C11" s="45">
        <v>0.873</v>
      </c>
    </row>
    <row r="12" spans="1:3" ht="15" customHeight="1" x14ac:dyDescent="0.25">
      <c r="B12" s="5" t="s">
        <v>12</v>
      </c>
      <c r="C12" s="45">
        <v>0.55899999999999994</v>
      </c>
    </row>
    <row r="13" spans="1:3" ht="15" customHeight="1" x14ac:dyDescent="0.25">
      <c r="B13" s="5" t="s">
        <v>13</v>
      </c>
      <c r="C13" s="45">
        <v>0.53799999999999992</v>
      </c>
    </row>
    <row r="14" spans="1:3" ht="15" customHeight="1" x14ac:dyDescent="0.25">
      <c r="B14" s="8"/>
    </row>
    <row r="15" spans="1:3" ht="15" customHeight="1" x14ac:dyDescent="0.3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8.5699999999999998E-2</v>
      </c>
    </row>
    <row r="24" spans="1:3" ht="15" customHeight="1" x14ac:dyDescent="0.25">
      <c r="B24" s="15" t="s">
        <v>22</v>
      </c>
      <c r="C24" s="45">
        <v>0.43590000000000001</v>
      </c>
    </row>
    <row r="25" spans="1:3" ht="15" customHeight="1" x14ac:dyDescent="0.25">
      <c r="B25" s="15" t="s">
        <v>23</v>
      </c>
      <c r="C25" s="45">
        <v>0.3957</v>
      </c>
    </row>
    <row r="26" spans="1:3" ht="15" customHeight="1" x14ac:dyDescent="0.25">
      <c r="B26" s="15" t="s">
        <v>24</v>
      </c>
      <c r="C26" s="45">
        <v>8.2699999999999996E-2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0.27146440725940302</v>
      </c>
    </row>
    <row r="30" spans="1:3" ht="14.25" customHeight="1" x14ac:dyDescent="0.25">
      <c r="B30" s="25" t="s">
        <v>27</v>
      </c>
      <c r="C30" s="99">
        <v>3.0900048109988299E-2</v>
      </c>
    </row>
    <row r="31" spans="1:3" ht="14.25" customHeight="1" x14ac:dyDescent="0.25">
      <c r="B31" s="25" t="s">
        <v>28</v>
      </c>
      <c r="C31" s="99">
        <v>6.9419093990287797E-2</v>
      </c>
    </row>
    <row r="32" spans="1:3" ht="14.25" customHeight="1" x14ac:dyDescent="0.25">
      <c r="B32" s="25" t="s">
        <v>29</v>
      </c>
      <c r="C32" s="99">
        <v>0.62821645064032094</v>
      </c>
    </row>
    <row r="33" spans="1:5" ht="13" customHeight="1" x14ac:dyDescent="0.25">
      <c r="B33" s="27" t="s">
        <v>30</v>
      </c>
      <c r="C33" s="48">
        <f>SUM(C29:C32)</f>
        <v>1</v>
      </c>
    </row>
    <row r="34" spans="1:5" ht="15" customHeight="1" x14ac:dyDescent="0.25"/>
    <row r="35" spans="1:5" ht="15" customHeight="1" x14ac:dyDescent="0.3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22.823730000000001</v>
      </c>
    </row>
    <row r="38" spans="1:5" ht="15" customHeight="1" x14ac:dyDescent="0.25">
      <c r="B38" s="11" t="s">
        <v>34</v>
      </c>
      <c r="C38" s="43">
        <v>32.582920000000001</v>
      </c>
      <c r="D38" s="12"/>
      <c r="E38" s="13"/>
    </row>
    <row r="39" spans="1:5" ht="15" customHeight="1" x14ac:dyDescent="0.25">
      <c r="B39" s="11" t="s">
        <v>35</v>
      </c>
      <c r="C39" s="43">
        <v>43.974519999999998</v>
      </c>
      <c r="D39" s="12"/>
      <c r="E39" s="12"/>
    </row>
    <row r="40" spans="1:5" ht="15" customHeight="1" x14ac:dyDescent="0.25">
      <c r="B40" s="11" t="s">
        <v>36</v>
      </c>
      <c r="C40" s="100">
        <v>2.63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21.40353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6.8689999999999992E-3</v>
      </c>
      <c r="D45" s="12"/>
    </row>
    <row r="46" spans="1:5" ht="15.75" customHeight="1" x14ac:dyDescent="0.25">
      <c r="B46" s="11" t="s">
        <v>41</v>
      </c>
      <c r="C46" s="45">
        <v>7.3128600000000002E-2</v>
      </c>
      <c r="D46" s="12"/>
    </row>
    <row r="47" spans="1:5" ht="15.75" customHeight="1" x14ac:dyDescent="0.25">
      <c r="B47" s="11" t="s">
        <v>42</v>
      </c>
      <c r="C47" s="45">
        <v>0.2015941</v>
      </c>
      <c r="D47" s="12"/>
      <c r="E47" s="13"/>
    </row>
    <row r="48" spans="1:5" ht="15" customHeight="1" x14ac:dyDescent="0.25">
      <c r="B48" s="11" t="s">
        <v>43</v>
      </c>
      <c r="C48" s="46">
        <v>0.7184083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3.3</v>
      </c>
      <c r="D51" s="12"/>
    </row>
    <row r="52" spans="1:4" ht="15" customHeight="1" x14ac:dyDescent="0.25">
      <c r="B52" s="11" t="s">
        <v>46</v>
      </c>
      <c r="C52" s="100">
        <v>3.3</v>
      </c>
    </row>
    <row r="53" spans="1:4" ht="15.75" customHeight="1" x14ac:dyDescent="0.25">
      <c r="B53" s="11" t="s">
        <v>47</v>
      </c>
      <c r="C53" s="100">
        <v>3.3</v>
      </c>
    </row>
    <row r="54" spans="1:4" ht="15.75" customHeight="1" x14ac:dyDescent="0.25">
      <c r="B54" s="11" t="s">
        <v>48</v>
      </c>
      <c r="C54" s="100">
        <v>3.3</v>
      </c>
    </row>
    <row r="55" spans="1:4" ht="15.75" customHeight="1" x14ac:dyDescent="0.25">
      <c r="B55" s="11" t="s">
        <v>49</v>
      </c>
      <c r="C55" s="100">
        <v>3.3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2.181818181818182E-2</v>
      </c>
    </row>
    <row r="59" spans="1:4" ht="15.75" customHeight="1" x14ac:dyDescent="0.25">
      <c r="B59" s="11" t="s">
        <v>52</v>
      </c>
      <c r="C59" s="45">
        <v>0.39087600000000011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0.14158809999999999</v>
      </c>
    </row>
    <row r="63" spans="1:4" ht="15.75" customHeight="1" x14ac:dyDescent="0.3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156</v>
      </c>
      <c r="B1" s="22" t="str">
        <f>"Baseline ("&amp;start_year&amp;") coverage"</f>
        <v>Baseline (2024)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0.217145636302293</v>
      </c>
      <c r="C2" s="98">
        <v>0.95</v>
      </c>
      <c r="D2" s="56">
        <v>41.250418745167217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42.596134754200222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151.34610343274491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0.49482675252861508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13.61384665422082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13.61384665422082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13.61384665422082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13.61384665422082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13.61384665422082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13.61384665422082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0.30123291736885999</v>
      </c>
      <c r="C16" s="98">
        <v>0.95</v>
      </c>
      <c r="D16" s="56">
        <v>0.35308348420754659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0.9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3.568244662609394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3.568244662609394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0.23128789999999999</v>
      </c>
      <c r="C21" s="98">
        <v>0.95</v>
      </c>
      <c r="D21" s="56">
        <v>4.104467765934162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23.27165885855867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3.4973999999999999E-3</v>
      </c>
      <c r="C23" s="98">
        <v>0.95</v>
      </c>
      <c r="D23" s="56">
        <v>4.5073761426825563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0.60988794753856601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0.258351811323345</v>
      </c>
      <c r="C27" s="98">
        <v>0.95</v>
      </c>
      <c r="D27" s="56">
        <v>19.61216024211193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0.47842659999999998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75.352499155981278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</v>
      </c>
      <c r="C31" s="98">
        <v>0.95</v>
      </c>
      <c r="D31" s="56">
        <v>0.46828928738985037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0.38182569999999999</v>
      </c>
      <c r="C32" s="98">
        <v>0.95</v>
      </c>
      <c r="D32" s="56">
        <v>0.71468953462406237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0.28583890000000001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0.35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0.37087789999999998</v>
      </c>
      <c r="C38" s="98">
        <v>0.95</v>
      </c>
      <c r="D38" s="56">
        <v>4.1522441481000731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0.25902579999999997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C13" sqref="C13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3.3</v>
      </c>
      <c r="C2" s="21">
        <f>'Baseline year population inputs'!C52</f>
        <v>3.3</v>
      </c>
      <c r="D2" s="21">
        <f>'Baseline year population inputs'!C53</f>
        <v>3.3</v>
      </c>
      <c r="E2" s="21">
        <f>'Baseline year population inputs'!C54</f>
        <v>3.3</v>
      </c>
      <c r="F2" s="21">
        <f>'Baseline year population inputs'!C55</f>
        <v>3.3</v>
      </c>
    </row>
    <row r="3" spans="1:6" ht="15.75" customHeight="1" x14ac:dyDescent="0.25">
      <c r="A3" s="3" t="s">
        <v>204</v>
      </c>
      <c r="B3" s="21">
        <f>frac_mam_1month * 2.6</f>
        <v>0.23364458000000002</v>
      </c>
      <c r="C3" s="21">
        <f>frac_mam_1_5months * 2.6</f>
        <v>0.23364458000000002</v>
      </c>
      <c r="D3" s="21">
        <f>frac_mam_6_11months * 2.6</f>
        <v>0.31809310000000002</v>
      </c>
      <c r="E3" s="21">
        <f>frac_mam_12_23months * 2.6</f>
        <v>0.21848034000000002</v>
      </c>
      <c r="F3" s="21">
        <f>frac_mam_24_59months * 2.6</f>
        <v>8.5790120000000011E-2</v>
      </c>
    </row>
    <row r="4" spans="1:6" ht="15.75" customHeight="1" x14ac:dyDescent="0.25">
      <c r="A4" s="3" t="s">
        <v>205</v>
      </c>
      <c r="B4" s="21">
        <f>frac_sam_1month * 2.6</f>
        <v>0.11406121999999999</v>
      </c>
      <c r="C4" s="21">
        <f>frac_sam_1_5months * 2.6</f>
        <v>0.11406121999999999</v>
      </c>
      <c r="D4" s="21">
        <f>frac_sam_6_11months * 2.6</f>
        <v>6.945380000000001E-2</v>
      </c>
      <c r="E4" s="21">
        <f>frac_sam_12_23months * 2.6</f>
        <v>4.6815860000000001E-2</v>
      </c>
      <c r="F4" s="21">
        <f>frac_sam_24_59months * 2.6</f>
        <v>5.4529799999999996E-3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60">
        <v>0</v>
      </c>
      <c r="D2" s="60">
        <f>food_insecure</f>
        <v>0.13300000000000001</v>
      </c>
      <c r="E2" s="60">
        <f>food_insecure</f>
        <v>0.13300000000000001</v>
      </c>
      <c r="F2" s="60">
        <f>food_insecure</f>
        <v>0.13300000000000001</v>
      </c>
      <c r="G2" s="60">
        <f>food_insecure</f>
        <v>0.13300000000000001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0.13300000000000001</v>
      </c>
      <c r="F5" s="60">
        <f>food_insecure</f>
        <v>0.13300000000000001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0.13300000000000001</v>
      </c>
      <c r="F8" s="60">
        <f>food_insecure</f>
        <v>0.13300000000000001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0.13300000000000001</v>
      </c>
      <c r="F9" s="60">
        <f>food_insecure</f>
        <v>0.13300000000000001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0.55899999999999994</v>
      </c>
      <c r="E10" s="60">
        <f>IF(ISBLANK(comm_deliv), frac_children_health_facility,1)</f>
        <v>0.55899999999999994</v>
      </c>
      <c r="F10" s="60">
        <f>IF(ISBLANK(comm_deliv), frac_children_health_facility,1)</f>
        <v>0.55899999999999994</v>
      </c>
      <c r="G10" s="60">
        <f>IF(ISBLANK(comm_deliv), frac_children_health_facility,1)</f>
        <v>0.55899999999999994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0.13300000000000001</v>
      </c>
      <c r="I15" s="60">
        <f>food_insecure</f>
        <v>0.13300000000000001</v>
      </c>
      <c r="J15" s="60">
        <f>food_insecure</f>
        <v>0.13300000000000001</v>
      </c>
      <c r="K15" s="60">
        <f>food_insecure</f>
        <v>0.13300000000000001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0.873</v>
      </c>
      <c r="I18" s="60">
        <f>frac_PW_health_facility</f>
        <v>0.873</v>
      </c>
      <c r="J18" s="60">
        <f>frac_PW_health_facility</f>
        <v>0.873</v>
      </c>
      <c r="K18" s="60">
        <f>frac_PW_health_facility</f>
        <v>0.873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0.98</v>
      </c>
      <c r="I19" s="60">
        <f>frac_malaria_risk</f>
        <v>0.98</v>
      </c>
      <c r="J19" s="60">
        <f>frac_malaria_risk</f>
        <v>0.98</v>
      </c>
      <c r="K19" s="60">
        <f>frac_malaria_risk</f>
        <v>0.98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0.53799999999999992</v>
      </c>
      <c r="M24" s="60">
        <f>famplan_unmet_need</f>
        <v>0.53799999999999992</v>
      </c>
      <c r="N24" s="60">
        <f>famplan_unmet_need</f>
        <v>0.53799999999999992</v>
      </c>
      <c r="O24" s="60">
        <f>famplan_unmet_need</f>
        <v>0.53799999999999992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0.2248261612213133</v>
      </c>
      <c r="M25" s="60">
        <f>(1-food_insecure)*(0.49)+food_insecure*(0.7)</f>
        <v>0.51793</v>
      </c>
      <c r="N25" s="60">
        <f>(1-food_insecure)*(0.49)+food_insecure*(0.7)</f>
        <v>0.51793</v>
      </c>
      <c r="O25" s="60">
        <f>(1-food_insecure)*(0.49)+food_insecure*(0.7)</f>
        <v>0.51793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9.6354069094848546E-2</v>
      </c>
      <c r="M26" s="60">
        <f>(1-food_insecure)*(0.21)+food_insecure*(0.3)</f>
        <v>0.22196999999999997</v>
      </c>
      <c r="N26" s="60">
        <f>(1-food_insecure)*(0.21)+food_insecure*(0.3)</f>
        <v>0.22196999999999997</v>
      </c>
      <c r="O26" s="60">
        <f>(1-food_insecure)*(0.21)+food_insecure*(0.3)</f>
        <v>0.22196999999999997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0.11290576821899406</v>
      </c>
      <c r="M27" s="60">
        <f>(1-food_insecure)*(0.3)</f>
        <v>0.2601</v>
      </c>
      <c r="N27" s="60">
        <f>(1-food_insecure)*(0.3)</f>
        <v>0.2601</v>
      </c>
      <c r="O27" s="60">
        <f>(1-food_insecure)*(0.3)</f>
        <v>0.2601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0.56591400146484405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0.98</v>
      </c>
      <c r="D34" s="60">
        <f t="shared" si="3"/>
        <v>0.98</v>
      </c>
      <c r="E34" s="60">
        <f t="shared" si="3"/>
        <v>0.98</v>
      </c>
      <c r="F34" s="60">
        <f t="shared" si="3"/>
        <v>0.98</v>
      </c>
      <c r="G34" s="60">
        <f t="shared" si="3"/>
        <v>0.98</v>
      </c>
      <c r="H34" s="60">
        <f t="shared" si="3"/>
        <v>0.98</v>
      </c>
      <c r="I34" s="60">
        <f t="shared" si="3"/>
        <v>0.98</v>
      </c>
      <c r="J34" s="60">
        <f t="shared" si="3"/>
        <v>0.98</v>
      </c>
      <c r="K34" s="60">
        <f t="shared" si="3"/>
        <v>0.98</v>
      </c>
      <c r="L34" s="60">
        <f t="shared" si="3"/>
        <v>0.98</v>
      </c>
      <c r="M34" s="60">
        <f t="shared" si="3"/>
        <v>0.98</v>
      </c>
      <c r="N34" s="60">
        <f t="shared" si="3"/>
        <v>0.98</v>
      </c>
      <c r="O34" s="60">
        <f t="shared" si="3"/>
        <v>0.98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c/rGyVZgGkhUAqOYeQhEdKJohJnZwMlPtVcOZvPWAG/LEg5Gne9k7nZtnui0huHfripADE6dYtqDmtQbZr0eCA==" saltValue="B8YmPLaFBUBxrPCcmxl/Fg==" spinCount="100000" sheet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4" customHeight="1" x14ac:dyDescent="0.3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A12" sqref="A12:XFD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5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/iNx8XhXnh7Xx3uVehiCurwu84DzhXX8Awjv5OnRpydvMo//nxQizpEy+BvB5S3dYPWZ66+QPd4XSBmiXvnjlw==" saltValue="ZzUL++HyQF3FaTSDA9XqUQ==" spinCount="100000" sheet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D14" sqref="D14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IvQDIxW99fzq1Zy0EhkbKUzL+Oo6JppYFJRusT7f1RK58axANCQbQrXBA4I5Zda1hiQSlfJ6FnKfxlkgJRWRpg==" saltValue="tOfPnYqP3Wy6+yrctBxWkQ==" spinCount="100000" sheet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11" sqref="B11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2024</v>
      </c>
      <c r="B2" s="49">
        <v>912665.16720000003</v>
      </c>
      <c r="C2" s="49">
        <v>1658000</v>
      </c>
      <c r="D2" s="49">
        <v>2797000</v>
      </c>
      <c r="E2" s="49">
        <v>2251000</v>
      </c>
      <c r="F2" s="49">
        <v>1758000</v>
      </c>
      <c r="G2" s="17">
        <f t="shared" ref="G2:G13" si="0">C2+D2+E2+F2</f>
        <v>8464000</v>
      </c>
      <c r="H2" s="17">
        <f t="shared" ref="H2:H13" si="1">(B2 + stillbirth*B2/(1000-stillbirth))/(1-abortion)</f>
        <v>1059803.0342188117</v>
      </c>
      <c r="I2" s="17">
        <f t="shared" ref="I2:I13" si="2">G2-H2</f>
        <v>7404196.9657811886</v>
      </c>
    </row>
    <row r="3" spans="1:9" ht="15.75" customHeight="1" x14ac:dyDescent="0.25">
      <c r="A3" s="5">
        <f t="shared" ref="A3:A40" si="3">IF($A$2+ROW(A3)-2&lt;=end_year,A2+1,"")</f>
        <v>2025</v>
      </c>
      <c r="B3" s="49">
        <v>916850.3</v>
      </c>
      <c r="C3" s="50">
        <v>1700000</v>
      </c>
      <c r="D3" s="50">
        <v>2847000</v>
      </c>
      <c r="E3" s="50">
        <v>2289000</v>
      </c>
      <c r="F3" s="50">
        <v>1807000</v>
      </c>
      <c r="G3" s="17">
        <f t="shared" si="0"/>
        <v>8643000</v>
      </c>
      <c r="H3" s="17">
        <f t="shared" si="1"/>
        <v>1064662.8849060645</v>
      </c>
      <c r="I3" s="17">
        <f t="shared" si="2"/>
        <v>7578337.1150939353</v>
      </c>
    </row>
    <row r="4" spans="1:9" ht="15.75" customHeight="1" x14ac:dyDescent="0.25">
      <c r="A4" s="5">
        <f t="shared" si="3"/>
        <v>2026</v>
      </c>
      <c r="B4" s="49">
        <v>924333.13800000004</v>
      </c>
      <c r="C4" s="50">
        <v>1742000</v>
      </c>
      <c r="D4" s="50">
        <v>2900000</v>
      </c>
      <c r="E4" s="50">
        <v>2330000</v>
      </c>
      <c r="F4" s="50">
        <v>1854000</v>
      </c>
      <c r="G4" s="17">
        <f t="shared" si="0"/>
        <v>8826000</v>
      </c>
      <c r="H4" s="17">
        <f t="shared" si="1"/>
        <v>1073352.0895585194</v>
      </c>
      <c r="I4" s="17">
        <f t="shared" si="2"/>
        <v>7752647.9104414806</v>
      </c>
    </row>
    <row r="5" spans="1:9" ht="15.75" customHeight="1" x14ac:dyDescent="0.25">
      <c r="A5" s="5">
        <f t="shared" si="3"/>
        <v>2027</v>
      </c>
      <c r="B5" s="49">
        <v>931532.62399999995</v>
      </c>
      <c r="C5" s="50">
        <v>1785000</v>
      </c>
      <c r="D5" s="50">
        <v>2955000</v>
      </c>
      <c r="E5" s="50">
        <v>2374000</v>
      </c>
      <c r="F5" s="50">
        <v>1898000</v>
      </c>
      <c r="G5" s="17">
        <f t="shared" si="0"/>
        <v>9012000</v>
      </c>
      <c r="H5" s="17">
        <f t="shared" si="1"/>
        <v>1081712.260825956</v>
      </c>
      <c r="I5" s="17">
        <f t="shared" si="2"/>
        <v>7930287.7391740438</v>
      </c>
    </row>
    <row r="6" spans="1:9" ht="15.75" customHeight="1" x14ac:dyDescent="0.25">
      <c r="A6" s="5">
        <f t="shared" si="3"/>
        <v>2028</v>
      </c>
      <c r="B6" s="49">
        <v>938419.10400000005</v>
      </c>
      <c r="C6" s="50">
        <v>1829000</v>
      </c>
      <c r="D6" s="50">
        <v>3012000</v>
      </c>
      <c r="E6" s="50">
        <v>2421000</v>
      </c>
      <c r="F6" s="50">
        <v>1940000</v>
      </c>
      <c r="G6" s="17">
        <f t="shared" si="0"/>
        <v>9202000</v>
      </c>
      <c r="H6" s="17">
        <f t="shared" si="1"/>
        <v>1089708.9639558434</v>
      </c>
      <c r="I6" s="17">
        <f t="shared" si="2"/>
        <v>8112291.0360441562</v>
      </c>
    </row>
    <row r="7" spans="1:9" ht="15.75" customHeight="1" x14ac:dyDescent="0.25">
      <c r="A7" s="5">
        <f t="shared" si="3"/>
        <v>2029</v>
      </c>
      <c r="B7" s="49">
        <v>945041.52599999995</v>
      </c>
      <c r="C7" s="50">
        <v>1868000</v>
      </c>
      <c r="D7" s="50">
        <v>3075000</v>
      </c>
      <c r="E7" s="50">
        <v>2469000</v>
      </c>
      <c r="F7" s="50">
        <v>1979000</v>
      </c>
      <c r="G7" s="17">
        <f t="shared" si="0"/>
        <v>9391000</v>
      </c>
      <c r="H7" s="17">
        <f t="shared" si="1"/>
        <v>1097399.0382368739</v>
      </c>
      <c r="I7" s="17">
        <f t="shared" si="2"/>
        <v>8293600.9617631258</v>
      </c>
    </row>
    <row r="8" spans="1:9" ht="15.75" customHeight="1" x14ac:dyDescent="0.25">
      <c r="A8" s="5">
        <f t="shared" si="3"/>
        <v>2030</v>
      </c>
      <c r="B8" s="49">
        <v>951369.94</v>
      </c>
      <c r="C8" s="50">
        <v>1901000</v>
      </c>
      <c r="D8" s="50">
        <v>3144000</v>
      </c>
      <c r="E8" s="50">
        <v>2514000</v>
      </c>
      <c r="F8" s="50">
        <v>2017000</v>
      </c>
      <c r="G8" s="17">
        <f t="shared" si="0"/>
        <v>9576000</v>
      </c>
      <c r="H8" s="17">
        <f t="shared" si="1"/>
        <v>1104747.7051960493</v>
      </c>
      <c r="I8" s="17">
        <f t="shared" si="2"/>
        <v>8471252.2948039509</v>
      </c>
    </row>
    <row r="9" spans="1:9" ht="15.75" customHeight="1" x14ac:dyDescent="0.25">
      <c r="A9" s="5">
        <f t="shared" si="3"/>
        <v>2031</v>
      </c>
      <c r="B9" s="49">
        <v>956899.19325714279</v>
      </c>
      <c r="C9" s="50">
        <v>1935714.2857142859</v>
      </c>
      <c r="D9" s="50">
        <v>3193571.4285714291</v>
      </c>
      <c r="E9" s="50">
        <v>2551571.4285714291</v>
      </c>
      <c r="F9" s="50">
        <v>2054000</v>
      </c>
      <c r="G9" s="17">
        <f t="shared" si="0"/>
        <v>9734857.1428571437</v>
      </c>
      <c r="H9" s="17">
        <f t="shared" si="1"/>
        <v>1111168.3724785119</v>
      </c>
      <c r="I9" s="17">
        <f t="shared" si="2"/>
        <v>8623688.7703786325</v>
      </c>
    </row>
    <row r="10" spans="1:9" ht="15.75" customHeight="1" x14ac:dyDescent="0.25">
      <c r="A10" s="5">
        <f t="shared" si="3"/>
        <v>2032</v>
      </c>
      <c r="B10" s="49">
        <v>962620.46372244891</v>
      </c>
      <c r="C10" s="50">
        <v>1969387.7551020409</v>
      </c>
      <c r="D10" s="50">
        <v>3243081.6326530608</v>
      </c>
      <c r="E10" s="50">
        <v>2589081.6326530608</v>
      </c>
      <c r="F10" s="50">
        <v>2089285.7142857141</v>
      </c>
      <c r="G10" s="17">
        <f t="shared" si="0"/>
        <v>9890836.7346938774</v>
      </c>
      <c r="H10" s="17">
        <f t="shared" si="1"/>
        <v>1117812.01356029</v>
      </c>
      <c r="I10" s="17">
        <f t="shared" si="2"/>
        <v>8773024.7211335879</v>
      </c>
    </row>
    <row r="11" spans="1:9" ht="15.75" customHeight="1" x14ac:dyDescent="0.25">
      <c r="A11" s="5">
        <f t="shared" si="3"/>
        <v>2033</v>
      </c>
      <c r="B11" s="49">
        <v>968090.0816827988</v>
      </c>
      <c r="C11" s="50">
        <v>2001871.7201166181</v>
      </c>
      <c r="D11" s="50">
        <v>3292093.2944606422</v>
      </c>
      <c r="E11" s="50">
        <v>2626093.2944606422</v>
      </c>
      <c r="F11" s="50">
        <v>2122897.9591836729</v>
      </c>
      <c r="G11" s="17">
        <f t="shared" si="0"/>
        <v>10042956.268221576</v>
      </c>
      <c r="H11" s="17">
        <f t="shared" si="1"/>
        <v>1124163.4312748287</v>
      </c>
      <c r="I11" s="17">
        <f t="shared" si="2"/>
        <v>8918792.8369467463</v>
      </c>
    </row>
    <row r="12" spans="1:9" ht="15.75" customHeight="1" x14ac:dyDescent="0.25">
      <c r="A12" s="5">
        <f t="shared" si="3"/>
        <v>2034</v>
      </c>
      <c r="B12" s="49">
        <v>973312.57563748432</v>
      </c>
      <c r="C12" s="50">
        <v>2032853.3944189921</v>
      </c>
      <c r="D12" s="50">
        <v>3340249.4793835911</v>
      </c>
      <c r="E12" s="50">
        <v>2662106.6222407329</v>
      </c>
      <c r="F12" s="50">
        <v>2155026.2390670548</v>
      </c>
      <c r="G12" s="17">
        <f t="shared" si="0"/>
        <v>10190235.735110372</v>
      </c>
      <c r="H12" s="17">
        <f t="shared" si="1"/>
        <v>1130227.8841960961</v>
      </c>
      <c r="I12" s="17">
        <f t="shared" si="2"/>
        <v>9060007.8509142771</v>
      </c>
    </row>
    <row r="13" spans="1:9" ht="15.75" customHeight="1" x14ac:dyDescent="0.25">
      <c r="A13" s="5">
        <f t="shared" si="3"/>
        <v>2035</v>
      </c>
      <c r="B13" s="49">
        <v>978297.3572999821</v>
      </c>
      <c r="C13" s="50">
        <v>2061975.307907419</v>
      </c>
      <c r="D13" s="50">
        <v>3387142.2621526751</v>
      </c>
      <c r="E13" s="50">
        <v>2696550.4254179811</v>
      </c>
      <c r="F13" s="50">
        <v>2185744.2732194918</v>
      </c>
      <c r="G13" s="17">
        <f t="shared" si="0"/>
        <v>10331412.268697567</v>
      </c>
      <c r="H13" s="17">
        <f t="shared" si="1"/>
        <v>1136016.3013732752</v>
      </c>
      <c r="I13" s="17">
        <f t="shared" si="2"/>
        <v>9195395.9673242923</v>
      </c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wKxEoWv7nnHIidhOP9O7yQQ4/tikEcXr6gTA2GrtyLYFAb1ix6Ln3irIlHONZ8I1dXNIh1a5t0Hcu3pPb5ZHrw==" saltValue="PZemEz5qyqkMYDJdSEC/KA==" spinCount="100000" sheet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" sqref="D5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ht="13" customHeight="1" x14ac:dyDescent="0.3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67</v>
      </c>
      <c r="C5" s="8" t="s">
        <v>145</v>
      </c>
      <c r="D5" s="88">
        <v>1.56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146</v>
      </c>
      <c r="D6" s="88">
        <v>1.56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77</v>
      </c>
      <c r="C8" s="8" t="s">
        <v>145</v>
      </c>
      <c r="D8" s="88">
        <v>1</v>
      </c>
      <c r="E8" s="88">
        <v>1.56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146</v>
      </c>
      <c r="D9" s="88">
        <v>1</v>
      </c>
      <c r="E9" s="88">
        <v>1.56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146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x14ac:dyDescent="0.25">
      <c r="B20" s="104"/>
      <c r="C20" s="8" t="s">
        <v>146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x14ac:dyDescent="0.25">
      <c r="B21" s="104"/>
      <c r="C21" s="8" t="s">
        <v>147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147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150</v>
      </c>
      <c r="C51" s="8" t="s">
        <v>147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ht="13" customHeight="1" x14ac:dyDescent="0.3">
      <c r="A55" s="4" t="s">
        <v>236</v>
      </c>
      <c r="B55" s="103" t="s">
        <v>90</v>
      </c>
      <c r="C55" s="8" t="s">
        <v>145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146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147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67</v>
      </c>
      <c r="C58" s="8" t="s">
        <v>145</v>
      </c>
      <c r="D58" s="88">
        <v>1.37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146</v>
      </c>
      <c r="D59" s="88">
        <v>1.37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147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77</v>
      </c>
      <c r="C61" s="8" t="s">
        <v>145</v>
      </c>
      <c r="D61" s="88">
        <f t="shared" si="2"/>
        <v>1</v>
      </c>
      <c r="E61" s="88">
        <v>1.37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146</v>
      </c>
      <c r="D62" s="88">
        <f t="shared" si="2"/>
        <v>1</v>
      </c>
      <c r="E62" s="88">
        <v>1.37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147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78</v>
      </c>
      <c r="C64" s="8" t="s">
        <v>145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146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147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79</v>
      </c>
      <c r="C67" s="8" t="s">
        <v>145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146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147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150</v>
      </c>
      <c r="C70" s="8" t="s">
        <v>147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90</v>
      </c>
      <c r="C72" s="8" t="s">
        <v>145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146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147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67</v>
      </c>
      <c r="C75" s="8" t="s">
        <v>145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146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147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77</v>
      </c>
      <c r="C78" s="8" t="s">
        <v>145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146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147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78</v>
      </c>
      <c r="C81" s="8" t="s">
        <v>145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146</v>
      </c>
      <c r="D82" s="88">
        <f t="shared" ref="D82:H91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147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79</v>
      </c>
      <c r="C84" s="8" t="s">
        <v>145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146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147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150</v>
      </c>
      <c r="C87" s="8" t="s">
        <v>147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90</v>
      </c>
      <c r="C89" s="8" t="s">
        <v>145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146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147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67</v>
      </c>
      <c r="C92" s="8" t="s">
        <v>145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146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147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77</v>
      </c>
      <c r="C95" s="8" t="s">
        <v>145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146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147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78</v>
      </c>
      <c r="C98" s="8" t="s">
        <v>145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146</v>
      </c>
      <c r="D99" s="88">
        <f t="shared" ref="D99:H108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147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79</v>
      </c>
      <c r="C101" s="8" t="s">
        <v>145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146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147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150</v>
      </c>
      <c r="C104" s="8" t="s">
        <v>147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ht="13" customHeight="1" x14ac:dyDescent="0.3">
      <c r="A108" s="4" t="s">
        <v>240</v>
      </c>
      <c r="B108" s="103" t="s">
        <v>90</v>
      </c>
      <c r="C108" s="8" t="s">
        <v>145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146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147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67</v>
      </c>
      <c r="C111" s="8" t="s">
        <v>145</v>
      </c>
      <c r="D111" s="88">
        <v>1.77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146</v>
      </c>
      <c r="D112" s="88">
        <v>1.77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147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77</v>
      </c>
      <c r="C114" s="8" t="s">
        <v>145</v>
      </c>
      <c r="D114" s="88">
        <f t="shared" si="12"/>
        <v>1</v>
      </c>
      <c r="E114" s="88">
        <v>1.77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146</v>
      </c>
      <c r="D115" s="88">
        <f t="shared" si="12"/>
        <v>1</v>
      </c>
      <c r="E115" s="88">
        <v>1.77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147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78</v>
      </c>
      <c r="C117" s="8" t="s">
        <v>145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146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147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79</v>
      </c>
      <c r="C120" s="8" t="s">
        <v>145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146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147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150</v>
      </c>
      <c r="C123" s="8" t="s">
        <v>147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90</v>
      </c>
      <c r="C125" s="8" t="s">
        <v>145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146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147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67</v>
      </c>
      <c r="C128" s="8" t="s">
        <v>145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146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147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77</v>
      </c>
      <c r="C131" s="8" t="s">
        <v>145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146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147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78</v>
      </c>
      <c r="C134" s="8" t="s">
        <v>145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146</v>
      </c>
      <c r="D135" s="88">
        <f t="shared" ref="D135:H144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147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79</v>
      </c>
      <c r="C137" s="8" t="s">
        <v>145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146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147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150</v>
      </c>
      <c r="C140" s="8" t="s">
        <v>147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90</v>
      </c>
      <c r="C142" s="8" t="s">
        <v>145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146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147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67</v>
      </c>
      <c r="C145" s="8" t="s">
        <v>145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146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147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77</v>
      </c>
      <c r="C148" s="8" t="s">
        <v>145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146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147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78</v>
      </c>
      <c r="C151" s="8" t="s">
        <v>145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146</v>
      </c>
      <c r="D152" s="88">
        <f t="shared" ref="D152:H161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147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79</v>
      </c>
      <c r="C154" s="8" t="s">
        <v>145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146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147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150</v>
      </c>
      <c r="C157" s="8" t="s">
        <v>147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riIqDHxQDNIc95k8WEEMlpv2yK5yRhEl3GZr9d21PG7QnhNwxgtjaWmZN+9widROwyhXiwQ4XZiTM/cZ2Cl95g==" saltValue="b1Xx0XPjIcbtdUQJGdoNkQ==" spinCount="100000" sheet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31" zoomScale="85" zoomScaleNormal="85" workbookViewId="0">
      <selection activeCell="D53" sqref="D53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246</v>
      </c>
      <c r="C11" s="74"/>
      <c r="D11" s="75"/>
      <c r="E11" s="75"/>
      <c r="F11" s="75"/>
    </row>
    <row r="12" spans="1:6" ht="15.75" customHeight="1" x14ac:dyDescent="0.3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27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28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29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251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3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254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255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69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70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71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72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73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74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75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27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28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29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258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3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261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262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69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70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71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72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73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74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75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OEa5xq8Dht0iRzVx1fQ1EOJdDm09uSIzQRujIfp/VJ8GNGNECqE8Uut2U6j1omy5Y9ajcKxMUHwzsTWrCb+nAw==" saltValue="Poj67khbkyqhF7WVYd6Cs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D53" sqref="D53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271</v>
      </c>
    </row>
    <row r="29" spans="1:16" ht="13" customHeight="1" x14ac:dyDescent="0.3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274</v>
      </c>
    </row>
    <row r="56" spans="1:16" ht="26" customHeight="1" x14ac:dyDescent="0.3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278</v>
      </c>
    </row>
    <row r="65" spans="1:16" ht="26" customHeight="1" x14ac:dyDescent="0.3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68</v>
      </c>
      <c r="C66" s="3" t="s">
        <v>119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ht="13" customHeight="1" x14ac:dyDescent="0.3">
      <c r="A113" s="4"/>
      <c r="B113" s="8" t="s">
        <v>81</v>
      </c>
      <c r="C113" s="3" t="s">
        <v>267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268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269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270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268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269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270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84</v>
      </c>
      <c r="C121" s="3" t="s">
        <v>267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268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269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270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268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269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270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83</v>
      </c>
      <c r="C129" s="3" t="s">
        <v>267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268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269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270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89</v>
      </c>
      <c r="C133" s="3" t="s">
        <v>267</v>
      </c>
      <c r="D133" s="91">
        <f t="shared" ref="D133:H142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268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269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270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ht="13" customHeight="1" x14ac:dyDescent="0.3">
      <c r="A140" s="4"/>
      <c r="B140" s="8" t="s">
        <v>81</v>
      </c>
      <c r="C140" s="3" t="s">
        <v>267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268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204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205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82</v>
      </c>
      <c r="C144" s="3" t="s">
        <v>267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268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204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205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84</v>
      </c>
      <c r="C148" s="3" t="s">
        <v>267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268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204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205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85</v>
      </c>
      <c r="C152" s="3" t="s">
        <v>267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268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204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205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83</v>
      </c>
      <c r="C156" s="3" t="s">
        <v>267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268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204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205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89</v>
      </c>
      <c r="C160" s="3" t="s">
        <v>267</v>
      </c>
      <c r="D160" s="91">
        <f t="shared" ref="D160:H169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268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204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205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ht="13" customHeight="1" x14ac:dyDescent="0.3">
      <c r="A167" s="4"/>
      <c r="B167" s="8" t="s">
        <v>91</v>
      </c>
      <c r="C167" s="3" t="s">
        <v>276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277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277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277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ht="13" customHeight="1" x14ac:dyDescent="0.3">
      <c r="A176" s="82"/>
      <c r="B176" s="8" t="s">
        <v>68</v>
      </c>
      <c r="C176" s="3" t="s">
        <v>119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ht="13" customHeight="1" x14ac:dyDescent="0.3">
      <c r="A215" s="4"/>
      <c r="C215" s="3" t="s">
        <v>119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ht="13" customHeight="1" x14ac:dyDescent="0.3">
      <c r="A223" s="4"/>
      <c r="B223" s="8" t="s">
        <v>81</v>
      </c>
      <c r="C223" s="3" t="s">
        <v>267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268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269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270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268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269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270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268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269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270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268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269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270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268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269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270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268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269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270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ht="13" customHeight="1" x14ac:dyDescent="0.3">
      <c r="A250" s="4"/>
      <c r="B250" s="8" t="s">
        <v>81</v>
      </c>
      <c r="C250" s="3" t="s">
        <v>267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268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204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205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268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204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205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268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204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205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268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204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205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268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204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205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268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204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205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ht="13" customHeight="1" x14ac:dyDescent="0.3">
      <c r="A277" s="4"/>
      <c r="B277" s="8" t="s">
        <v>91</v>
      </c>
      <c r="C277" s="3" t="s">
        <v>276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277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277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277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ht="13" customHeight="1" x14ac:dyDescent="0.3">
      <c r="A286" s="82"/>
      <c r="B286" s="8" t="s">
        <v>68</v>
      </c>
      <c r="C286" s="3" t="s">
        <v>119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ht="13" customHeight="1" x14ac:dyDescent="0.3">
      <c r="A325" s="4"/>
      <c r="C325" s="3" t="s">
        <v>119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rzjjr+eUY+zLxtgvRuigrXBCYk8ZjZeKkvy/Wu7lqFGhk7GKsrVngS9i2Jt2gxX9Fn0pC2b9tyB7+BxRGGivEA==" saltValue="vsQDJsypwJz22iUc18xJ6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D50" sqref="D50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281</v>
      </c>
    </row>
    <row r="2" spans="1:7" ht="14.25" customHeight="1" x14ac:dyDescent="0.3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f>IF(ISBLANK('Nutritional status distribution'!$E$4),0.64, (0.64*SUM('Nutritional status distribution'!$E$4:$E$5)/(1-0.64*SUM('Nutritional status distribution'!$E$4:$E$5)))
/ (SUM('Nutritional status distribution'!$E$4:$E$5)/(1-SUM('Nutritional status distribution'!$E$4:$E$5))))</f>
        <v>0.61630349309114363</v>
      </c>
      <c r="F6" s="90">
        <f>IF(ISBLANK('Nutritional status distribution'!$F$4),0.64, (0.64*SUM('Nutritional status distribution'!$F$4:$F$5)/(1-0.64*SUM('Nutritional status distribution'!$F$4:$F$5)))/ (SUM('Nutritional status distribution'!$F$4:$F$5)/(1-SUM('Nutritional status distribution'!$F$4:$F$5))))</f>
        <v>0.59107670485028829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0.86886422712631928</v>
      </c>
      <c r="F7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0.85637273596034869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0.86886422712631928</v>
      </c>
      <c r="F8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0.85637273596034869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287</v>
      </c>
    </row>
    <row r="15" spans="1:7" ht="14.25" customHeight="1" x14ac:dyDescent="0.3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291</v>
      </c>
    </row>
    <row r="20" spans="1:7" s="14" customFormat="1" ht="14.25" customHeight="1" x14ac:dyDescent="0.3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281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293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294</v>
      </c>
    </row>
    <row r="29" spans="1:7" x14ac:dyDescent="0.25">
      <c r="B29" s="5" t="s">
        <v>295</v>
      </c>
      <c r="C29" s="90">
        <f t="shared" ref="C29:D32" si="0">IF(C6=1,1,C6*0.9)</f>
        <v>1</v>
      </c>
      <c r="D29" s="90">
        <f t="shared" si="0"/>
        <v>1</v>
      </c>
      <c r="E29" s="90">
        <f>IF(ISBLANK('Nutritional status distribution'!E$4),0.44, (0.44*SUM('Nutritional status distribution'!E$4:E$5)/(1-0.44*SUM('Nutritional status distribution'!E$4:E$5)))/ (SUM('Nutritional status distribution'!E$4:E$5)/(1-SUM('Nutritional status distribution'!E$4:E$5))))</f>
        <v>0.41516867972290894</v>
      </c>
      <c r="F29" s="90">
        <f>IF(ISBLANK('Nutritional status distribution'!F$4),0.44, (0.44*SUM('Nutritional status distribution'!F$4:F$5)/(1-0.44*SUM('Nutritional status distribution'!F$4:F$5)))/ (SUM('Nutritional status distribution'!F$4:F$5)/(1-SUM('Nutritional status distribution'!F$4:F$5))))</f>
        <v>0.38981069992739958</v>
      </c>
      <c r="G29" s="90">
        <f>IF(G6=1,1,G6*0.9)</f>
        <v>1</v>
      </c>
    </row>
    <row r="30" spans="1:7" x14ac:dyDescent="0.25">
      <c r="B30" s="5" t="s">
        <v>296</v>
      </c>
      <c r="C30" s="90">
        <f t="shared" si="0"/>
        <v>1</v>
      </c>
      <c r="D30" s="90">
        <f t="shared" si="0"/>
        <v>1</v>
      </c>
      <c r="E30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0.83659722034006434</v>
      </c>
      <c r="F30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0.82166296997781685</v>
      </c>
      <c r="G30" s="90">
        <f>IF(G7=1,1,G7*0.9)</f>
        <v>1</v>
      </c>
    </row>
    <row r="31" spans="1:7" x14ac:dyDescent="0.25">
      <c r="B31" s="5" t="s">
        <v>297</v>
      </c>
      <c r="C31" s="90">
        <f t="shared" si="0"/>
        <v>1</v>
      </c>
      <c r="D31" s="90">
        <f t="shared" si="0"/>
        <v>1</v>
      </c>
      <c r="E31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0.83659722034006434</v>
      </c>
      <c r="F31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0.82166296997781685</v>
      </c>
      <c r="G31" s="90">
        <f>IF(G8=1,1,G8*0.9)</f>
        <v>1</v>
      </c>
    </row>
    <row r="32" spans="1:7" x14ac:dyDescent="0.25">
      <c r="B32" s="5" t="s">
        <v>298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299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300</v>
      </c>
      <c r="C35" s="90">
        <v>1.26</v>
      </c>
      <c r="D35" s="90">
        <v>1.1100000000000001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287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272</v>
      </c>
      <c r="B38" s="5" t="s">
        <v>301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302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111</v>
      </c>
      <c r="B40" s="11" t="s">
        <v>303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304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281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307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308</v>
      </c>
    </row>
    <row r="52" spans="1:7" x14ac:dyDescent="0.25">
      <c r="B52" s="5" t="s">
        <v>309</v>
      </c>
      <c r="C52" s="90">
        <f t="shared" ref="C52:D55" si="3">IF(C6=1,1,C6*1.1)</f>
        <v>1</v>
      </c>
      <c r="D52" s="90">
        <f t="shared" si="3"/>
        <v>1</v>
      </c>
      <c r="E52" s="90">
        <f>IF(ISBLANK('Nutritional status distribution'!E$4),0.92, (0.92*SUM('Nutritional status distribution'!E$4:E$5)/(1-0.92*SUM('Nutritional status distribution'!E$4:E$5)))/ (SUM('Nutritional status distribution'!E$4:E$5)/(1-SUM('Nutritional status distribution'!E$4:E$5))))</f>
        <v>0.91220582718721455</v>
      </c>
      <c r="F52" s="90">
        <f>IF(ISBLANK('Nutritional status distribution'!F$4),0.92, (0.92*SUM('Nutritional status distribution'!F$4:F$5)/(1-0.92*SUM('Nutritional status distribution'!F$4:F$5)))/ (SUM('Nutritional status distribution'!F$4:F$5)/(1-SUM('Nutritional status distribution'!F$4:F$5))))</f>
        <v>0.90338380260754358</v>
      </c>
      <c r="G52" s="90">
        <f>IF(G6=1,1,G6*1.1)</f>
        <v>1</v>
      </c>
    </row>
    <row r="53" spans="1:7" x14ac:dyDescent="0.25">
      <c r="B53" s="5" t="s">
        <v>310</v>
      </c>
      <c r="C53" s="90">
        <f t="shared" si="3"/>
        <v>1</v>
      </c>
      <c r="D53" s="90">
        <f t="shared" si="3"/>
        <v>1</v>
      </c>
      <c r="E53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0.90133603981877486</v>
      </c>
      <c r="F53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0.89155161485935475</v>
      </c>
      <c r="G53" s="90">
        <f>IF(G7=1,1,G7*1.1)</f>
        <v>1</v>
      </c>
    </row>
    <row r="54" spans="1:7" x14ac:dyDescent="0.25">
      <c r="B54" s="5" t="s">
        <v>311</v>
      </c>
      <c r="C54" s="90">
        <f t="shared" si="3"/>
        <v>1</v>
      </c>
      <c r="D54" s="90">
        <f t="shared" si="3"/>
        <v>1</v>
      </c>
      <c r="E54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0.90133603981877486</v>
      </c>
      <c r="F54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0.89155161485935475</v>
      </c>
      <c r="G54" s="90">
        <f>IF(G8=1,1,G8*1.1)</f>
        <v>1</v>
      </c>
    </row>
    <row r="55" spans="1:7" x14ac:dyDescent="0.25">
      <c r="B55" s="5" t="s">
        <v>312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313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314</v>
      </c>
      <c r="C58" s="90">
        <v>1.78</v>
      </c>
      <c r="D58" s="90">
        <v>1.74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287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272</v>
      </c>
      <c r="B61" s="5" t="s">
        <v>315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316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111</v>
      </c>
      <c r="B63" s="11" t="s">
        <v>317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318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uxH3qxfpHv3MxEVFpMF959vuuHVMbjUY0YDJlIXIgHOAA25UaRTm/IIjRx7RzEUfWaTP3eP7cZpYIm+m6J8PbA==" saltValue="wm1A0TwV/0DyOIoqtNvf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10" zoomScale="70" zoomScaleNormal="70" workbookViewId="0">
      <selection activeCell="D50" sqref="D50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179</v>
      </c>
      <c r="B19" s="5" t="s">
        <v>320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180</v>
      </c>
      <c r="B21" s="5" t="s">
        <v>320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181</v>
      </c>
      <c r="B23" s="5" t="s">
        <v>320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320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189</v>
      </c>
      <c r="B27" s="5" t="s">
        <v>320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179</v>
      </c>
      <c r="B34" s="5" t="s">
        <v>320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180</v>
      </c>
      <c r="B36" s="5" t="s">
        <v>320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181</v>
      </c>
      <c r="B38" s="5" t="s">
        <v>320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320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189</v>
      </c>
      <c r="B42" s="5" t="s">
        <v>320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lEvf/7Nn9p0s2t120JFgJzNA1BIMAO9h8EmTziKGX5ZA7K3Y+rQ77oXfzNqKwsdbYQwCY96ujjsdxuDmqt1luA==" saltValue="pZcegXbvW/wKpwHEQP8p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E35" zoomScale="70" zoomScaleNormal="70" workbookViewId="0">
      <selection activeCell="D50" sqref="D50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ht="13" customHeight="1" x14ac:dyDescent="0.3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0.9</v>
      </c>
      <c r="M10" s="90">
        <v>0.9</v>
      </c>
      <c r="N10" s="90">
        <v>0.9</v>
      </c>
      <c r="O10" s="90">
        <v>0.9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f t="shared" ref="E19:O19" si="0">0.72</f>
        <v>0.72</v>
      </c>
      <c r="F19" s="90">
        <f t="shared" si="0"/>
        <v>0.72</v>
      </c>
      <c r="G19" s="90">
        <f t="shared" si="0"/>
        <v>0.72</v>
      </c>
      <c r="H19" s="90">
        <f t="shared" si="0"/>
        <v>0.72</v>
      </c>
      <c r="I19" s="90">
        <f t="shared" si="0"/>
        <v>0.72</v>
      </c>
      <c r="J19" s="90">
        <f t="shared" si="0"/>
        <v>0.72</v>
      </c>
      <c r="K19" s="90">
        <f t="shared" si="0"/>
        <v>0.72</v>
      </c>
      <c r="L19" s="90">
        <f t="shared" si="0"/>
        <v>0.72</v>
      </c>
      <c r="M19" s="90">
        <f t="shared" si="0"/>
        <v>0.72</v>
      </c>
      <c r="N19" s="90">
        <f t="shared" si="0"/>
        <v>0.72</v>
      </c>
      <c r="O19" s="90">
        <f t="shared" si="0"/>
        <v>0.72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v>0.8</v>
      </c>
      <c r="F21" s="90">
        <v>0.8</v>
      </c>
      <c r="G21" s="90">
        <v>0.8</v>
      </c>
      <c r="H21" s="90">
        <v>0.8</v>
      </c>
      <c r="I21" s="90">
        <v>0.8</v>
      </c>
      <c r="J21" s="90">
        <v>0.8</v>
      </c>
      <c r="K21" s="90">
        <v>0.8</v>
      </c>
      <c r="L21" s="90">
        <v>0.8</v>
      </c>
      <c r="M21" s="90">
        <v>0.8</v>
      </c>
      <c r="N21" s="90">
        <v>0.8</v>
      </c>
      <c r="O21" s="90">
        <v>0.8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ht="13" customHeight="1" x14ac:dyDescent="0.3">
      <c r="A25" s="4" t="s">
        <v>324</v>
      </c>
    </row>
    <row r="26" spans="1:15" x14ac:dyDescent="0.25">
      <c r="B26" s="11" t="s">
        <v>170</v>
      </c>
      <c r="C26" s="90">
        <v>0.4</v>
      </c>
      <c r="D26" s="90">
        <v>0.4</v>
      </c>
      <c r="E26" s="90">
        <f t="shared" ref="E26:O26" si="1">IF(E3=1,1,E3*0.9)</f>
        <v>1</v>
      </c>
      <c r="F26" s="90">
        <f t="shared" si="1"/>
        <v>1</v>
      </c>
      <c r="G26" s="90">
        <f t="shared" si="1"/>
        <v>1</v>
      </c>
      <c r="H26" s="90">
        <f t="shared" si="1"/>
        <v>1</v>
      </c>
      <c r="I26" s="90">
        <f t="shared" si="1"/>
        <v>1</v>
      </c>
      <c r="J26" s="90">
        <f t="shared" si="1"/>
        <v>1</v>
      </c>
      <c r="K26" s="90">
        <f t="shared" si="1"/>
        <v>1</v>
      </c>
      <c r="L26" s="90">
        <f t="shared" si="1"/>
        <v>1</v>
      </c>
      <c r="M26" s="90">
        <f t="shared" si="1"/>
        <v>1</v>
      </c>
      <c r="N26" s="90">
        <f t="shared" si="1"/>
        <v>1</v>
      </c>
      <c r="O26" s="90">
        <f t="shared" si="1"/>
        <v>1</v>
      </c>
    </row>
    <row r="27" spans="1:15" x14ac:dyDescent="0.25">
      <c r="B27" s="11" t="s">
        <v>175</v>
      </c>
      <c r="C27" s="90">
        <f t="shared" ref="C27:G33" si="2">IF(C4=1,1,C4*0.9)</f>
        <v>1</v>
      </c>
      <c r="D27" s="90">
        <f t="shared" si="2"/>
        <v>1</v>
      </c>
      <c r="E27" s="90">
        <f t="shared" si="2"/>
        <v>1</v>
      </c>
      <c r="F27" s="90">
        <f t="shared" si="2"/>
        <v>1</v>
      </c>
      <c r="G27" s="90">
        <f t="shared" si="2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3">IF(L4=1,1,L4*0.9)</f>
        <v>1</v>
      </c>
      <c r="M27" s="90">
        <f t="shared" si="3"/>
        <v>1</v>
      </c>
      <c r="N27" s="90">
        <f t="shared" si="3"/>
        <v>1</v>
      </c>
      <c r="O27" s="90">
        <f t="shared" si="3"/>
        <v>1</v>
      </c>
    </row>
    <row r="28" spans="1:15" x14ac:dyDescent="0.25">
      <c r="B28" s="11" t="s">
        <v>176</v>
      </c>
      <c r="C28" s="90">
        <f t="shared" si="2"/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3"/>
        <v>1</v>
      </c>
      <c r="M28" s="90">
        <f t="shared" si="3"/>
        <v>1</v>
      </c>
      <c r="N28" s="90">
        <f t="shared" si="3"/>
        <v>1</v>
      </c>
      <c r="O28" s="90">
        <f t="shared" si="3"/>
        <v>1</v>
      </c>
    </row>
    <row r="29" spans="1:15" x14ac:dyDescent="0.25">
      <c r="B29" s="11" t="s">
        <v>177</v>
      </c>
      <c r="C29" s="90">
        <f t="shared" si="2"/>
        <v>1</v>
      </c>
      <c r="D29" s="90">
        <f t="shared" si="2"/>
        <v>1</v>
      </c>
      <c r="E29" s="90">
        <f t="shared" si="2"/>
        <v>1</v>
      </c>
      <c r="F29" s="90">
        <f t="shared" si="2"/>
        <v>1</v>
      </c>
      <c r="G29" s="90">
        <f t="shared" si="2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178</v>
      </c>
      <c r="C30" s="90">
        <f t="shared" si="2"/>
        <v>1</v>
      </c>
      <c r="D30" s="90">
        <f t="shared" si="2"/>
        <v>1</v>
      </c>
      <c r="E30" s="90">
        <f t="shared" si="2"/>
        <v>1</v>
      </c>
      <c r="F30" s="90">
        <f t="shared" si="2"/>
        <v>1</v>
      </c>
      <c r="G30" s="90">
        <f t="shared" si="2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3"/>
        <v>1</v>
      </c>
      <c r="M30" s="90">
        <f t="shared" si="3"/>
        <v>1</v>
      </c>
      <c r="N30" s="90">
        <f t="shared" si="3"/>
        <v>1</v>
      </c>
      <c r="O30" s="90">
        <f t="shared" si="3"/>
        <v>1</v>
      </c>
    </row>
    <row r="31" spans="1:15" x14ac:dyDescent="0.25">
      <c r="B31" s="5" t="s">
        <v>179</v>
      </c>
      <c r="C31" s="90">
        <f t="shared" si="2"/>
        <v>1</v>
      </c>
      <c r="D31" s="90">
        <f t="shared" si="2"/>
        <v>1</v>
      </c>
      <c r="E31" s="90">
        <f t="shared" si="2"/>
        <v>1</v>
      </c>
      <c r="F31" s="90">
        <f t="shared" si="2"/>
        <v>1</v>
      </c>
      <c r="G31" s="90">
        <f t="shared" si="2"/>
        <v>1</v>
      </c>
      <c r="H31" s="90">
        <f t="shared" ref="H31:K34" si="4">IF(H8=1,1,H8*0.9)</f>
        <v>1</v>
      </c>
      <c r="I31" s="90">
        <f t="shared" si="4"/>
        <v>1</v>
      </c>
      <c r="J31" s="90">
        <f t="shared" si="4"/>
        <v>1</v>
      </c>
      <c r="K31" s="90">
        <f t="shared" si="4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180</v>
      </c>
      <c r="C32" s="90">
        <f t="shared" si="2"/>
        <v>1</v>
      </c>
      <c r="D32" s="90">
        <f t="shared" si="2"/>
        <v>1</v>
      </c>
      <c r="E32" s="90">
        <f t="shared" si="2"/>
        <v>1</v>
      </c>
      <c r="F32" s="90">
        <f t="shared" si="2"/>
        <v>1</v>
      </c>
      <c r="G32" s="90">
        <f t="shared" si="2"/>
        <v>1</v>
      </c>
      <c r="H32" s="90">
        <f t="shared" si="4"/>
        <v>1</v>
      </c>
      <c r="I32" s="90">
        <f t="shared" si="4"/>
        <v>1</v>
      </c>
      <c r="J32" s="90">
        <f t="shared" si="4"/>
        <v>1</v>
      </c>
      <c r="K32" s="90">
        <f t="shared" si="4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181</v>
      </c>
      <c r="C33" s="90">
        <f t="shared" si="2"/>
        <v>1</v>
      </c>
      <c r="D33" s="90">
        <f t="shared" si="2"/>
        <v>1</v>
      </c>
      <c r="E33" s="90">
        <f t="shared" si="2"/>
        <v>1</v>
      </c>
      <c r="F33" s="90">
        <f t="shared" si="2"/>
        <v>1</v>
      </c>
      <c r="G33" s="90">
        <f t="shared" si="2"/>
        <v>1</v>
      </c>
      <c r="H33" s="90">
        <f t="shared" si="4"/>
        <v>1</v>
      </c>
      <c r="I33" s="90">
        <f t="shared" si="4"/>
        <v>1</v>
      </c>
      <c r="J33" s="90">
        <f t="shared" si="4"/>
        <v>1</v>
      </c>
      <c r="K33" s="90">
        <f t="shared" si="4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184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4"/>
        <v>1</v>
      </c>
      <c r="I34" s="90">
        <f t="shared" si="4"/>
        <v>1</v>
      </c>
      <c r="J34" s="90">
        <f t="shared" si="4"/>
        <v>1</v>
      </c>
      <c r="K34" s="90">
        <f t="shared" si="4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185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188</v>
      </c>
      <c r="C36" s="90">
        <f t="shared" ref="C36:D38" si="5">IF(C13=1,1,C13*0.9)</f>
        <v>1</v>
      </c>
      <c r="D36" s="90">
        <f t="shared" si="5"/>
        <v>1</v>
      </c>
      <c r="E36" s="90">
        <v>0.62</v>
      </c>
      <c r="F36" s="90">
        <v>0.62</v>
      </c>
      <c r="G36" s="90">
        <v>0.62</v>
      </c>
      <c r="H36" s="90">
        <f t="shared" ref="H36:O36" si="6">IF(H13=1,1,H13*0.9)</f>
        <v>1</v>
      </c>
      <c r="I36" s="90">
        <f t="shared" si="6"/>
        <v>1</v>
      </c>
      <c r="J36" s="90">
        <f t="shared" si="6"/>
        <v>1</v>
      </c>
      <c r="K36" s="90">
        <f t="shared" si="6"/>
        <v>1</v>
      </c>
      <c r="L36" s="90">
        <f t="shared" si="6"/>
        <v>1</v>
      </c>
      <c r="M36" s="90">
        <f t="shared" si="6"/>
        <v>1</v>
      </c>
      <c r="N36" s="90">
        <f t="shared" si="6"/>
        <v>1</v>
      </c>
      <c r="O36" s="90">
        <f t="shared" si="6"/>
        <v>1</v>
      </c>
    </row>
    <row r="37" spans="1:15" x14ac:dyDescent="0.25">
      <c r="B37" s="11" t="s">
        <v>189</v>
      </c>
      <c r="C37" s="90">
        <f t="shared" si="5"/>
        <v>1</v>
      </c>
      <c r="D37" s="90">
        <f t="shared" si="5"/>
        <v>1</v>
      </c>
      <c r="E37" s="90">
        <f t="shared" ref="E37:K37" si="7">IF(E14=1,1,E14*0.9)</f>
        <v>1</v>
      </c>
      <c r="F37" s="90">
        <f t="shared" si="7"/>
        <v>1</v>
      </c>
      <c r="G37" s="90">
        <f t="shared" si="7"/>
        <v>1</v>
      </c>
      <c r="H37" s="90">
        <f t="shared" si="7"/>
        <v>1</v>
      </c>
      <c r="I37" s="90">
        <f t="shared" si="7"/>
        <v>1</v>
      </c>
      <c r="J37" s="90">
        <f t="shared" si="7"/>
        <v>1</v>
      </c>
      <c r="K37" s="90">
        <f t="shared" si="7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192</v>
      </c>
      <c r="C38" s="90">
        <f t="shared" si="5"/>
        <v>1</v>
      </c>
      <c r="D38" s="90">
        <f t="shared" si="5"/>
        <v>1</v>
      </c>
      <c r="E38" s="90">
        <v>0.3</v>
      </c>
      <c r="F38" s="90">
        <v>0.3</v>
      </c>
      <c r="G38" s="90">
        <f t="shared" ref="G38:O38" si="8">IF(G15=1,1,G15*0.9)</f>
        <v>1</v>
      </c>
      <c r="H38" s="90">
        <f t="shared" si="8"/>
        <v>1</v>
      </c>
      <c r="I38" s="90">
        <f t="shared" si="8"/>
        <v>1</v>
      </c>
      <c r="J38" s="90">
        <f t="shared" si="8"/>
        <v>1</v>
      </c>
      <c r="K38" s="90">
        <f t="shared" si="8"/>
        <v>1</v>
      </c>
      <c r="L38" s="90">
        <f t="shared" si="8"/>
        <v>1</v>
      </c>
      <c r="M38" s="90">
        <f t="shared" si="8"/>
        <v>1</v>
      </c>
      <c r="N38" s="90">
        <f t="shared" si="8"/>
        <v>1</v>
      </c>
      <c r="O38" s="90">
        <f t="shared" si="8"/>
        <v>1</v>
      </c>
    </row>
    <row r="40" spans="1:15" ht="13" customHeight="1" x14ac:dyDescent="0.3">
      <c r="A40" s="4" t="s">
        <v>325</v>
      </c>
      <c r="B40" s="11"/>
    </row>
    <row r="41" spans="1:15" x14ac:dyDescent="0.25">
      <c r="B41" s="5" t="s">
        <v>172</v>
      </c>
      <c r="C41" s="90">
        <f t="shared" ref="C41:O41" si="9">IF(C18=1,1,C18*0.9)</f>
        <v>1</v>
      </c>
      <c r="D41" s="90">
        <f t="shared" si="9"/>
        <v>1</v>
      </c>
      <c r="E41" s="90">
        <f t="shared" si="9"/>
        <v>1</v>
      </c>
      <c r="F41" s="90">
        <f t="shared" si="9"/>
        <v>1</v>
      </c>
      <c r="G41" s="90">
        <f t="shared" si="9"/>
        <v>1</v>
      </c>
      <c r="H41" s="90">
        <f t="shared" si="9"/>
        <v>1</v>
      </c>
      <c r="I41" s="90">
        <f t="shared" si="9"/>
        <v>1</v>
      </c>
      <c r="J41" s="90">
        <f t="shared" si="9"/>
        <v>1</v>
      </c>
      <c r="K41" s="90">
        <f t="shared" si="9"/>
        <v>1</v>
      </c>
      <c r="L41" s="90">
        <f t="shared" si="9"/>
        <v>1</v>
      </c>
      <c r="M41" s="90">
        <f t="shared" si="9"/>
        <v>1</v>
      </c>
      <c r="N41" s="90">
        <f t="shared" si="9"/>
        <v>1</v>
      </c>
      <c r="O41" s="90">
        <f t="shared" si="9"/>
        <v>1</v>
      </c>
    </row>
    <row r="42" spans="1:15" x14ac:dyDescent="0.25">
      <c r="B42" s="5" t="s">
        <v>173</v>
      </c>
      <c r="C42" s="90">
        <f t="shared" ref="C42:D44" si="10">IF(C19=1,1,C19*0.9)</f>
        <v>1</v>
      </c>
      <c r="D42" s="90">
        <f t="shared" si="10"/>
        <v>1</v>
      </c>
      <c r="E42" s="90">
        <v>0.54</v>
      </c>
      <c r="F42" s="90">
        <v>0.54</v>
      </c>
      <c r="G42" s="90">
        <v>0.54</v>
      </c>
      <c r="H42" s="90">
        <v>0.54</v>
      </c>
      <c r="I42" s="90">
        <v>0.54</v>
      </c>
      <c r="J42" s="90">
        <v>0.54</v>
      </c>
      <c r="K42" s="90">
        <v>0.54</v>
      </c>
      <c r="L42" s="90">
        <v>0.54</v>
      </c>
      <c r="M42" s="90">
        <v>0.54</v>
      </c>
      <c r="N42" s="90">
        <v>0.54</v>
      </c>
      <c r="O42" s="90">
        <v>0.54</v>
      </c>
    </row>
    <row r="43" spans="1:15" x14ac:dyDescent="0.25">
      <c r="B43" s="5" t="s">
        <v>174</v>
      </c>
      <c r="C43" s="90">
        <f t="shared" si="10"/>
        <v>1</v>
      </c>
      <c r="D43" s="90">
        <f t="shared" si="10"/>
        <v>1</v>
      </c>
      <c r="E43" s="90">
        <f t="shared" ref="E43:O43" si="11">IF(E20=1,1,E20*0.9)</f>
        <v>1</v>
      </c>
      <c r="F43" s="90">
        <f t="shared" si="11"/>
        <v>1</v>
      </c>
      <c r="G43" s="90">
        <f t="shared" si="11"/>
        <v>1</v>
      </c>
      <c r="H43" s="90">
        <f t="shared" si="11"/>
        <v>1</v>
      </c>
      <c r="I43" s="90">
        <f t="shared" si="11"/>
        <v>1</v>
      </c>
      <c r="J43" s="90">
        <f t="shared" si="11"/>
        <v>1</v>
      </c>
      <c r="K43" s="90">
        <f t="shared" si="11"/>
        <v>1</v>
      </c>
      <c r="L43" s="90">
        <f t="shared" si="11"/>
        <v>1</v>
      </c>
      <c r="M43" s="90">
        <f t="shared" si="11"/>
        <v>1</v>
      </c>
      <c r="N43" s="90">
        <f t="shared" si="11"/>
        <v>1</v>
      </c>
      <c r="O43" s="90">
        <f t="shared" si="11"/>
        <v>1</v>
      </c>
    </row>
    <row r="44" spans="1:15" x14ac:dyDescent="0.25">
      <c r="B44" s="5" t="s">
        <v>182</v>
      </c>
      <c r="C44" s="90">
        <f t="shared" si="10"/>
        <v>1</v>
      </c>
      <c r="D44" s="90">
        <f t="shared" si="10"/>
        <v>1</v>
      </c>
      <c r="E44" s="90">
        <v>0.7</v>
      </c>
      <c r="F44" s="90">
        <v>0.7</v>
      </c>
      <c r="G44" s="90">
        <v>0.7</v>
      </c>
      <c r="H44" s="90">
        <v>0.7</v>
      </c>
      <c r="I44" s="90">
        <v>0.7</v>
      </c>
      <c r="J44" s="90">
        <v>0.7</v>
      </c>
      <c r="K44" s="90">
        <v>0.7</v>
      </c>
      <c r="L44" s="90">
        <v>0.7</v>
      </c>
      <c r="M44" s="90">
        <v>0.7</v>
      </c>
      <c r="N44" s="90">
        <v>0.7</v>
      </c>
      <c r="O44" s="90">
        <v>0.7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ht="13" customHeight="1" x14ac:dyDescent="0.3">
      <c r="A48" s="4" t="s">
        <v>326</v>
      </c>
    </row>
    <row r="49" spans="1:15" x14ac:dyDescent="0.25">
      <c r="B49" s="11" t="s">
        <v>170</v>
      </c>
      <c r="C49" s="90">
        <v>0.7</v>
      </c>
      <c r="D49" s="90">
        <v>0.7</v>
      </c>
      <c r="E49" s="90">
        <f t="shared" ref="E49:O49" si="12">IF(E3=1,1,E3*1.05)</f>
        <v>1</v>
      </c>
      <c r="F49" s="90">
        <f t="shared" si="12"/>
        <v>1</v>
      </c>
      <c r="G49" s="90">
        <f t="shared" si="12"/>
        <v>1</v>
      </c>
      <c r="H49" s="90">
        <f t="shared" si="12"/>
        <v>1</v>
      </c>
      <c r="I49" s="90">
        <f t="shared" si="12"/>
        <v>1</v>
      </c>
      <c r="J49" s="90">
        <f t="shared" si="12"/>
        <v>1</v>
      </c>
      <c r="K49" s="90">
        <f t="shared" si="12"/>
        <v>1</v>
      </c>
      <c r="L49" s="90">
        <f t="shared" si="12"/>
        <v>1</v>
      </c>
      <c r="M49" s="90">
        <f t="shared" si="12"/>
        <v>1</v>
      </c>
      <c r="N49" s="90">
        <f t="shared" si="12"/>
        <v>1</v>
      </c>
      <c r="O49" s="90">
        <f t="shared" si="12"/>
        <v>1</v>
      </c>
    </row>
    <row r="50" spans="1:15" x14ac:dyDescent="0.25">
      <c r="B50" s="11" t="s">
        <v>175</v>
      </c>
      <c r="C50" s="90">
        <f t="shared" ref="C50:G56" si="13">IF(C4=1,1,C4*1.05)</f>
        <v>1</v>
      </c>
      <c r="D50" s="90">
        <f t="shared" si="13"/>
        <v>1</v>
      </c>
      <c r="E50" s="90">
        <f t="shared" si="13"/>
        <v>1</v>
      </c>
      <c r="F50" s="90">
        <f t="shared" si="13"/>
        <v>1</v>
      </c>
      <c r="G50" s="90">
        <f t="shared" si="13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4">IF(L4=1,1,L4*1.05)</f>
        <v>1</v>
      </c>
      <c r="M50" s="90">
        <f t="shared" si="14"/>
        <v>1</v>
      </c>
      <c r="N50" s="90">
        <f t="shared" si="14"/>
        <v>1</v>
      </c>
      <c r="O50" s="90">
        <f t="shared" si="14"/>
        <v>1</v>
      </c>
    </row>
    <row r="51" spans="1:15" x14ac:dyDescent="0.25">
      <c r="B51" s="11" t="s">
        <v>176</v>
      </c>
      <c r="C51" s="90">
        <f t="shared" si="13"/>
        <v>1</v>
      </c>
      <c r="D51" s="90">
        <f t="shared" si="13"/>
        <v>1</v>
      </c>
      <c r="E51" s="90">
        <f t="shared" si="13"/>
        <v>1</v>
      </c>
      <c r="F51" s="90">
        <f t="shared" si="13"/>
        <v>1</v>
      </c>
      <c r="G51" s="90">
        <f t="shared" si="13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4"/>
        <v>1</v>
      </c>
      <c r="M51" s="90">
        <f t="shared" si="14"/>
        <v>1</v>
      </c>
      <c r="N51" s="90">
        <f t="shared" si="14"/>
        <v>1</v>
      </c>
      <c r="O51" s="90">
        <f t="shared" si="14"/>
        <v>1</v>
      </c>
    </row>
    <row r="52" spans="1:15" x14ac:dyDescent="0.25">
      <c r="B52" s="11" t="s">
        <v>177</v>
      </c>
      <c r="C52" s="90">
        <f t="shared" si="13"/>
        <v>1</v>
      </c>
      <c r="D52" s="90">
        <f t="shared" si="13"/>
        <v>1</v>
      </c>
      <c r="E52" s="90">
        <f t="shared" si="13"/>
        <v>1</v>
      </c>
      <c r="F52" s="90">
        <f t="shared" si="13"/>
        <v>1</v>
      </c>
      <c r="G52" s="90">
        <f t="shared" si="13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4"/>
        <v>1</v>
      </c>
      <c r="M52" s="90">
        <f t="shared" si="14"/>
        <v>1</v>
      </c>
      <c r="N52" s="90">
        <f t="shared" si="14"/>
        <v>1</v>
      </c>
      <c r="O52" s="90">
        <f t="shared" si="14"/>
        <v>1</v>
      </c>
    </row>
    <row r="53" spans="1:15" x14ac:dyDescent="0.25">
      <c r="B53" s="11" t="s">
        <v>178</v>
      </c>
      <c r="C53" s="90">
        <f t="shared" si="13"/>
        <v>1</v>
      </c>
      <c r="D53" s="90">
        <f t="shared" si="13"/>
        <v>1</v>
      </c>
      <c r="E53" s="90">
        <f t="shared" si="13"/>
        <v>1</v>
      </c>
      <c r="F53" s="90">
        <f t="shared" si="13"/>
        <v>1</v>
      </c>
      <c r="G53" s="90">
        <f t="shared" si="13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4"/>
        <v>1</v>
      </c>
      <c r="M53" s="90">
        <f t="shared" si="14"/>
        <v>1</v>
      </c>
      <c r="N53" s="90">
        <f t="shared" si="14"/>
        <v>1</v>
      </c>
      <c r="O53" s="90">
        <f t="shared" si="14"/>
        <v>1</v>
      </c>
    </row>
    <row r="54" spans="1:15" x14ac:dyDescent="0.25">
      <c r="B54" s="5" t="s">
        <v>179</v>
      </c>
      <c r="C54" s="90">
        <f t="shared" si="13"/>
        <v>1</v>
      </c>
      <c r="D54" s="90">
        <f t="shared" si="13"/>
        <v>1</v>
      </c>
      <c r="E54" s="90">
        <f t="shared" si="13"/>
        <v>1</v>
      </c>
      <c r="F54" s="90">
        <f t="shared" si="13"/>
        <v>1</v>
      </c>
      <c r="G54" s="90">
        <f t="shared" si="13"/>
        <v>1</v>
      </c>
      <c r="H54" s="90">
        <f t="shared" ref="H54:K57" si="15">IF(H8=1,1,H8*1.05)</f>
        <v>1</v>
      </c>
      <c r="I54" s="90">
        <f t="shared" si="15"/>
        <v>1</v>
      </c>
      <c r="J54" s="90">
        <f t="shared" si="15"/>
        <v>1</v>
      </c>
      <c r="K54" s="90">
        <f t="shared" si="15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180</v>
      </c>
      <c r="C55" s="90">
        <f t="shared" si="13"/>
        <v>1</v>
      </c>
      <c r="D55" s="90">
        <f t="shared" si="13"/>
        <v>1</v>
      </c>
      <c r="E55" s="90">
        <f t="shared" si="13"/>
        <v>1</v>
      </c>
      <c r="F55" s="90">
        <f t="shared" si="13"/>
        <v>1</v>
      </c>
      <c r="G55" s="90">
        <f t="shared" si="13"/>
        <v>1</v>
      </c>
      <c r="H55" s="90">
        <f t="shared" si="15"/>
        <v>1</v>
      </c>
      <c r="I55" s="90">
        <f t="shared" si="15"/>
        <v>1</v>
      </c>
      <c r="J55" s="90">
        <f t="shared" si="15"/>
        <v>1</v>
      </c>
      <c r="K55" s="90">
        <f t="shared" si="15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181</v>
      </c>
      <c r="C56" s="90">
        <f t="shared" si="13"/>
        <v>1</v>
      </c>
      <c r="D56" s="90">
        <f t="shared" si="13"/>
        <v>1</v>
      </c>
      <c r="E56" s="90">
        <f t="shared" si="13"/>
        <v>1</v>
      </c>
      <c r="F56" s="90">
        <f t="shared" si="13"/>
        <v>1</v>
      </c>
      <c r="G56" s="90">
        <f t="shared" si="13"/>
        <v>1</v>
      </c>
      <c r="H56" s="90">
        <f t="shared" si="15"/>
        <v>1</v>
      </c>
      <c r="I56" s="90">
        <f t="shared" si="15"/>
        <v>1</v>
      </c>
      <c r="J56" s="90">
        <f t="shared" si="15"/>
        <v>1</v>
      </c>
      <c r="K56" s="90">
        <f t="shared" si="15"/>
        <v>1</v>
      </c>
      <c r="L56" s="90">
        <v>0.95</v>
      </c>
      <c r="M56" s="90">
        <v>0.95</v>
      </c>
      <c r="N56" s="90">
        <v>0.95</v>
      </c>
      <c r="O56" s="90">
        <v>0.95</v>
      </c>
    </row>
    <row r="57" spans="1:15" x14ac:dyDescent="0.25">
      <c r="B57" s="5" t="s">
        <v>184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5"/>
        <v>1</v>
      </c>
      <c r="I57" s="90">
        <f t="shared" si="15"/>
        <v>1</v>
      </c>
      <c r="J57" s="90">
        <f t="shared" si="15"/>
        <v>1</v>
      </c>
      <c r="K57" s="90">
        <f t="shared" si="15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185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188</v>
      </c>
      <c r="C59" s="90">
        <f t="shared" ref="C59:D61" si="16">IF(C13=1,1,C13*1.05)</f>
        <v>1</v>
      </c>
      <c r="D59" s="90">
        <f t="shared" si="16"/>
        <v>1</v>
      </c>
      <c r="E59" s="90">
        <v>0.77</v>
      </c>
      <c r="F59" s="90">
        <v>0.77</v>
      </c>
      <c r="G59" s="90">
        <v>0.77</v>
      </c>
      <c r="H59" s="90">
        <f t="shared" ref="H59:O59" si="17">IF(H13=1,1,H13*1.05)</f>
        <v>1</v>
      </c>
      <c r="I59" s="90">
        <f t="shared" si="17"/>
        <v>1</v>
      </c>
      <c r="J59" s="90">
        <f t="shared" si="17"/>
        <v>1</v>
      </c>
      <c r="K59" s="90">
        <f t="shared" si="17"/>
        <v>1</v>
      </c>
      <c r="L59" s="90">
        <f t="shared" si="17"/>
        <v>1</v>
      </c>
      <c r="M59" s="90">
        <f t="shared" si="17"/>
        <v>1</v>
      </c>
      <c r="N59" s="90">
        <f t="shared" si="17"/>
        <v>1</v>
      </c>
      <c r="O59" s="90">
        <f t="shared" si="17"/>
        <v>1</v>
      </c>
    </row>
    <row r="60" spans="1:15" x14ac:dyDescent="0.25">
      <c r="B60" s="11" t="s">
        <v>189</v>
      </c>
      <c r="C60" s="90">
        <f t="shared" si="16"/>
        <v>1</v>
      </c>
      <c r="D60" s="90">
        <f t="shared" si="16"/>
        <v>1</v>
      </c>
      <c r="E60" s="90">
        <f t="shared" ref="E60:K60" si="18">IF(E14=1,1,E14*1.05)</f>
        <v>1</v>
      </c>
      <c r="F60" s="90">
        <f t="shared" si="18"/>
        <v>1</v>
      </c>
      <c r="G60" s="90">
        <f t="shared" si="18"/>
        <v>1</v>
      </c>
      <c r="H60" s="90">
        <f t="shared" si="18"/>
        <v>1</v>
      </c>
      <c r="I60" s="90">
        <f t="shared" si="18"/>
        <v>1</v>
      </c>
      <c r="J60" s="90">
        <f t="shared" si="18"/>
        <v>1</v>
      </c>
      <c r="K60" s="90">
        <f t="shared" si="18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192</v>
      </c>
      <c r="C61" s="90">
        <f t="shared" si="16"/>
        <v>1</v>
      </c>
      <c r="D61" s="90">
        <f t="shared" si="16"/>
        <v>1</v>
      </c>
      <c r="E61" s="90">
        <v>0.44</v>
      </c>
      <c r="F61" s="90">
        <v>0.44</v>
      </c>
      <c r="G61" s="90">
        <f t="shared" ref="G61:O61" si="19">IF(G15=1,1,G15*1.05)</f>
        <v>1</v>
      </c>
      <c r="H61" s="90">
        <f t="shared" si="19"/>
        <v>1</v>
      </c>
      <c r="I61" s="90">
        <f t="shared" si="19"/>
        <v>1</v>
      </c>
      <c r="J61" s="90">
        <f t="shared" si="19"/>
        <v>1</v>
      </c>
      <c r="K61" s="90">
        <f t="shared" si="19"/>
        <v>1</v>
      </c>
      <c r="L61" s="90">
        <f t="shared" si="19"/>
        <v>1</v>
      </c>
      <c r="M61" s="90">
        <f t="shared" si="19"/>
        <v>1</v>
      </c>
      <c r="N61" s="90">
        <f t="shared" si="19"/>
        <v>1</v>
      </c>
      <c r="O61" s="90">
        <f t="shared" si="19"/>
        <v>1</v>
      </c>
    </row>
    <row r="63" spans="1:15" ht="13" customHeight="1" x14ac:dyDescent="0.3">
      <c r="A63" s="4" t="s">
        <v>327</v>
      </c>
      <c r="B63" s="11"/>
    </row>
    <row r="64" spans="1:15" x14ac:dyDescent="0.25">
      <c r="B64" s="5" t="s">
        <v>172</v>
      </c>
      <c r="C64" s="90">
        <f t="shared" ref="C64:O64" si="20">IF(C18=1,1,C18*1.05)</f>
        <v>1</v>
      </c>
      <c r="D64" s="90">
        <f t="shared" si="20"/>
        <v>1</v>
      </c>
      <c r="E64" s="90">
        <f t="shared" si="20"/>
        <v>1</v>
      </c>
      <c r="F64" s="90">
        <f t="shared" si="20"/>
        <v>1</v>
      </c>
      <c r="G64" s="90">
        <f t="shared" si="20"/>
        <v>1</v>
      </c>
      <c r="H64" s="90">
        <f t="shared" si="20"/>
        <v>1</v>
      </c>
      <c r="I64" s="90">
        <f t="shared" si="20"/>
        <v>1</v>
      </c>
      <c r="J64" s="90">
        <f t="shared" si="20"/>
        <v>1</v>
      </c>
      <c r="K64" s="90">
        <f t="shared" si="20"/>
        <v>1</v>
      </c>
      <c r="L64" s="90">
        <f t="shared" si="20"/>
        <v>1</v>
      </c>
      <c r="M64" s="90">
        <f t="shared" si="20"/>
        <v>1</v>
      </c>
      <c r="N64" s="90">
        <f t="shared" si="20"/>
        <v>1</v>
      </c>
      <c r="O64" s="90">
        <f t="shared" si="20"/>
        <v>1</v>
      </c>
    </row>
    <row r="65" spans="2:15" x14ac:dyDescent="0.25">
      <c r="B65" s="5" t="s">
        <v>173</v>
      </c>
      <c r="C65" s="90">
        <f t="shared" ref="C65:D67" si="21">IF(C19=1,1,C19*1.05)</f>
        <v>1</v>
      </c>
      <c r="D65" s="90">
        <f t="shared" si="21"/>
        <v>1</v>
      </c>
      <c r="E65" s="90">
        <v>0.97</v>
      </c>
      <c r="F65" s="90">
        <v>0.97</v>
      </c>
      <c r="G65" s="90">
        <v>0.97</v>
      </c>
      <c r="H65" s="90">
        <v>0.97</v>
      </c>
      <c r="I65" s="90">
        <v>0.97</v>
      </c>
      <c r="J65" s="90">
        <v>0.97</v>
      </c>
      <c r="K65" s="90">
        <v>0.97</v>
      </c>
      <c r="L65" s="90">
        <v>0.97</v>
      </c>
      <c r="M65" s="90">
        <v>0.97</v>
      </c>
      <c r="N65" s="90">
        <v>0.97</v>
      </c>
      <c r="O65" s="90">
        <v>0.97</v>
      </c>
    </row>
    <row r="66" spans="2:15" x14ac:dyDescent="0.25">
      <c r="B66" s="5" t="s">
        <v>174</v>
      </c>
      <c r="C66" s="90">
        <f t="shared" si="21"/>
        <v>1</v>
      </c>
      <c r="D66" s="90">
        <f t="shared" si="21"/>
        <v>1</v>
      </c>
      <c r="E66" s="90">
        <f t="shared" ref="E66:O66" si="22">IF(E20=1,1,E20*1.05)</f>
        <v>1</v>
      </c>
      <c r="F66" s="90">
        <f t="shared" si="22"/>
        <v>1</v>
      </c>
      <c r="G66" s="90">
        <f t="shared" si="22"/>
        <v>1</v>
      </c>
      <c r="H66" s="90">
        <f t="shared" si="22"/>
        <v>1</v>
      </c>
      <c r="I66" s="90">
        <f t="shared" si="22"/>
        <v>1</v>
      </c>
      <c r="J66" s="90">
        <f t="shared" si="22"/>
        <v>1</v>
      </c>
      <c r="K66" s="90">
        <f t="shared" si="22"/>
        <v>1</v>
      </c>
      <c r="L66" s="90">
        <f t="shared" si="22"/>
        <v>1</v>
      </c>
      <c r="M66" s="90">
        <f t="shared" si="22"/>
        <v>1</v>
      </c>
      <c r="N66" s="90">
        <f t="shared" si="22"/>
        <v>1</v>
      </c>
      <c r="O66" s="90">
        <f t="shared" si="22"/>
        <v>1</v>
      </c>
    </row>
    <row r="67" spans="2:15" x14ac:dyDescent="0.25">
      <c r="B67" s="5" t="s">
        <v>182</v>
      </c>
      <c r="C67" s="90">
        <f t="shared" si="21"/>
        <v>1</v>
      </c>
      <c r="D67" s="90">
        <f t="shared" si="21"/>
        <v>1</v>
      </c>
      <c r="E67" s="90">
        <v>0.92</v>
      </c>
      <c r="F67" s="90">
        <v>0.92</v>
      </c>
      <c r="G67" s="90">
        <v>0.92</v>
      </c>
      <c r="H67" s="90">
        <v>0.92</v>
      </c>
      <c r="I67" s="90">
        <v>0.92</v>
      </c>
      <c r="J67" s="90">
        <v>0.92</v>
      </c>
      <c r="K67" s="90">
        <v>0.92</v>
      </c>
      <c r="L67" s="90">
        <v>0.92</v>
      </c>
      <c r="M67" s="90">
        <v>0.92</v>
      </c>
      <c r="N67" s="90">
        <v>0.92</v>
      </c>
      <c r="O67" s="90">
        <f>IF(ISBLANK('Nutritional status distribution'!O$14),0.92,(0.92*'Nutritional status distribution'!O$14/(1-0.92*'Nutritional status distribution'!O$14))
/ ('Nutritional status distribution'!O$14/(1-'Nutritional status distribution'!O$14)))</f>
        <v>0.86196424874042377</v>
      </c>
    </row>
  </sheetData>
  <sheetProtection algorithmName="SHA-512" hashValue="QTNrTNcX0LQnvnw9OcFIuF8iiKsb7nBsadUCrO1kCxqB4CvEkER3v8YCwNBmR8txM/1IAuOQ/zC/vA8HLWjOhA==" saltValue="f5+QlQPEjGE24L/HhPaCM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3" sqref="D3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ht="13" customHeight="1" x14ac:dyDescent="0.3">
      <c r="A2" s="4" t="s">
        <v>328</v>
      </c>
    </row>
    <row r="3" spans="1:7" x14ac:dyDescent="0.25">
      <c r="B3" s="11" t="s">
        <v>157</v>
      </c>
      <c r="C3" s="90">
        <v>1</v>
      </c>
      <c r="D3" s="90">
        <f>1/1.33</f>
        <v>0.75187969924812026</v>
      </c>
      <c r="E3" s="90">
        <f>1/1.33</f>
        <v>0.75187969924812026</v>
      </c>
      <c r="F3" s="90">
        <f>1/1.33</f>
        <v>0.75187969924812026</v>
      </c>
      <c r="G3" s="90">
        <f>1/1.33</f>
        <v>0.75187969924812026</v>
      </c>
    </row>
    <row r="4" spans="1:7" ht="13" customHeight="1" x14ac:dyDescent="0.3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f>1/1.33</f>
        <v>0.75187969924812026</v>
      </c>
      <c r="E5" s="90">
        <f>1/1.33</f>
        <v>0.75187969924812026</v>
      </c>
      <c r="F5" s="90">
        <f>1/1.33</f>
        <v>0.75187969924812026</v>
      </c>
      <c r="G5" s="90">
        <f>1/1.33</f>
        <v>0.75187969924812026</v>
      </c>
    </row>
    <row r="7" spans="1:7" s="92" customFormat="1" ht="13" customHeight="1" x14ac:dyDescent="0.3">
      <c r="A7" s="92" t="s">
        <v>330</v>
      </c>
    </row>
    <row r="8" spans="1:7" ht="13" customHeight="1" x14ac:dyDescent="0.3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ht="13" customHeight="1" x14ac:dyDescent="0.3">
      <c r="A9" s="4" t="s">
        <v>331</v>
      </c>
    </row>
    <row r="10" spans="1:7" x14ac:dyDescent="0.25">
      <c r="B10" s="11" t="s">
        <v>157</v>
      </c>
      <c r="C10" s="90">
        <v>1</v>
      </c>
      <c r="D10" s="90">
        <f>1/1.54</f>
        <v>0.64935064935064934</v>
      </c>
      <c r="E10" s="90">
        <f>1/1.54</f>
        <v>0.64935064935064934</v>
      </c>
      <c r="F10" s="90">
        <f>1/1.54</f>
        <v>0.64935064935064934</v>
      </c>
      <c r="G10" s="90">
        <f>1/1.54</f>
        <v>0.64935064935064934</v>
      </c>
    </row>
    <row r="11" spans="1:7" ht="13" customHeight="1" x14ac:dyDescent="0.3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v>1</v>
      </c>
      <c r="D12" s="90">
        <f>1/1.54</f>
        <v>0.64935064935064934</v>
      </c>
      <c r="E12" s="90">
        <f>1/1.54</f>
        <v>0.64935064935064934</v>
      </c>
      <c r="F12" s="90">
        <f>1/1.54</f>
        <v>0.64935064935064934</v>
      </c>
      <c r="G12" s="90">
        <f>1/1.54</f>
        <v>0.64935064935064934</v>
      </c>
    </row>
    <row r="14" spans="1:7" s="92" customFormat="1" ht="13" customHeight="1" x14ac:dyDescent="0.3">
      <c r="A14" s="92" t="s">
        <v>333</v>
      </c>
    </row>
    <row r="15" spans="1:7" ht="13" customHeight="1" x14ac:dyDescent="0.3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ht="13" customHeight="1" x14ac:dyDescent="0.3">
      <c r="A16" s="4" t="s">
        <v>334</v>
      </c>
    </row>
    <row r="17" spans="1:7" x14ac:dyDescent="0.25">
      <c r="B17" s="11" t="s">
        <v>157</v>
      </c>
      <c r="C17" s="90">
        <v>1</v>
      </c>
      <c r="D17" s="90">
        <f>1/1.16</f>
        <v>0.86206896551724144</v>
      </c>
      <c r="E17" s="90">
        <f>1/1.16</f>
        <v>0.86206896551724144</v>
      </c>
      <c r="F17" s="90">
        <f>1/1.16</f>
        <v>0.86206896551724144</v>
      </c>
      <c r="G17" s="90">
        <f>1/1.16</f>
        <v>0.86206896551724144</v>
      </c>
    </row>
    <row r="18" spans="1:7" ht="13" customHeight="1" x14ac:dyDescent="0.3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v>1</v>
      </c>
      <c r="D19" s="90">
        <f>1/1.16</f>
        <v>0.86206896551724144</v>
      </c>
      <c r="E19" s="90">
        <f>1/1.16</f>
        <v>0.86206896551724144</v>
      </c>
      <c r="F19" s="90">
        <f>1/1.16</f>
        <v>0.86206896551724144</v>
      </c>
      <c r="G19" s="90">
        <f>1/1.16</f>
        <v>0.86206896551724144</v>
      </c>
    </row>
  </sheetData>
  <sheetProtection algorithmName="SHA-512" hashValue="ZIjv20oIFeX8hEAP3JXu7+FjYQdIWvRgXIH4IkxRsMm14MAW5JMg2x9QOPJ7rc+IAMFEDvKO0XCydnz4Atw3VA==" saltValue="eIHIWivrA2mRyU/FI0KAAQ==" spinCount="100000" sheet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53" zoomScale="80" zoomScaleNormal="80" workbookViewId="0">
      <selection activeCell="D50" sqref="D50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339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x14ac:dyDescent="0.25">
      <c r="C4" s="5" t="s">
        <v>340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340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340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339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x14ac:dyDescent="0.25">
      <c r="C44" s="5" t="s">
        <v>340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x14ac:dyDescent="0.25">
      <c r="B45" s="5" t="s">
        <v>82</v>
      </c>
      <c r="C45" s="5" t="s">
        <v>338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340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x14ac:dyDescent="0.25">
      <c r="C49" s="5" t="s">
        <v>339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0.32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330</v>
      </c>
      <c r="B55" s="97"/>
      <c r="C55" s="97"/>
    </row>
    <row r="56" spans="1:8" ht="13" customHeight="1" x14ac:dyDescent="0.3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339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x14ac:dyDescent="0.25">
      <c r="C59" s="5" t="s">
        <v>340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x14ac:dyDescent="0.25">
      <c r="C61" s="5" t="s">
        <v>340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x14ac:dyDescent="0.25">
      <c r="B62" s="5" t="s">
        <v>204</v>
      </c>
      <c r="C62" s="5" t="s">
        <v>338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x14ac:dyDescent="0.25">
      <c r="C63" s="5" t="s">
        <v>340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x14ac:dyDescent="0.25">
      <c r="C65" s="5" t="s">
        <v>340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x14ac:dyDescent="0.25">
      <c r="B66" s="5" t="s">
        <v>204</v>
      </c>
      <c r="C66" s="5" t="s">
        <v>338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x14ac:dyDescent="0.25">
      <c r="C67" s="5" t="s">
        <v>340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x14ac:dyDescent="0.25">
      <c r="C69" s="5" t="s">
        <v>340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x14ac:dyDescent="0.25">
      <c r="B70" s="5" t="s">
        <v>204</v>
      </c>
      <c r="C70" s="5" t="s">
        <v>338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x14ac:dyDescent="0.25">
      <c r="C71" s="5" t="s">
        <v>340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x14ac:dyDescent="0.25">
      <c r="C73" s="5" t="s">
        <v>340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204</v>
      </c>
      <c r="C74" s="5" t="s">
        <v>338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340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339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339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339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340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339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340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339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340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339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340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339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340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339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340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82</v>
      </c>
      <c r="C100" s="5" t="s">
        <v>338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339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340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339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339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339</v>
      </c>
      <c r="D108" s="90">
        <v>0.14000000000000001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333</v>
      </c>
      <c r="B110" s="97"/>
      <c r="C110" s="97"/>
    </row>
    <row r="111" spans="1:8" ht="13" customHeight="1" x14ac:dyDescent="0.3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339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340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340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204</v>
      </c>
      <c r="C117" s="5" t="s">
        <v>338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340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340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204</v>
      </c>
      <c r="C121" s="5" t="s">
        <v>338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340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340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204</v>
      </c>
      <c r="C125" s="5" t="s">
        <v>338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340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340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204</v>
      </c>
      <c r="C129" s="5" t="s">
        <v>338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340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339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339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339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339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340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339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340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339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340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339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340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339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340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339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340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82</v>
      </c>
      <c r="C155" s="5" t="s">
        <v>338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339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340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339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339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339</v>
      </c>
      <c r="D163" s="90">
        <v>0.47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gIF3gzcRwMevsVP9JM+eFJliWIfkjL6RYnVy29HH1zFwKTB/eJc1NVFGROY84dwrfqcI+B8KpOZ1waT1qDgCXQ==" saltValue="0Itsi1W8Rg+oXl6coWpo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D53" sqref="D53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330</v>
      </c>
    </row>
    <row r="10" spans="1:8" ht="13" customHeight="1" x14ac:dyDescent="0.3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x14ac:dyDescent="0.25">
      <c r="C12" s="8" t="s">
        <v>339</v>
      </c>
      <c r="D12" s="90">
        <v>0</v>
      </c>
      <c r="E12" s="90">
        <v>0</v>
      </c>
      <c r="F12" s="90">
        <v>0</v>
      </c>
      <c r="G12" s="90">
        <v>0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339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333</v>
      </c>
    </row>
    <row r="19" spans="1:7" ht="13" customHeight="1" x14ac:dyDescent="0.3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x14ac:dyDescent="0.25">
      <c r="C21" s="8" t="s">
        <v>339</v>
      </c>
      <c r="D21" s="90">
        <v>0.98</v>
      </c>
      <c r="E21" s="90">
        <v>0.98</v>
      </c>
      <c r="F21" s="90">
        <v>0.98</v>
      </c>
      <c r="G21" s="90">
        <v>0.98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x14ac:dyDescent="0.25">
      <c r="C23" s="8" t="s">
        <v>339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x14ac:dyDescent="0.25">
      <c r="C25" s="8" t="s">
        <v>339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SSCu+FR+SN+siPEoAiap+3g3Z0SGqFtJklZqGSbEJvGKfBY2J7BHBpfevFvAYPx8Hf15tBeGKZdJ4ehQEpyLRg==" saltValue="A0PmMaoo+OfazXy7x4UxVw==" spinCount="100000" sheet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(2024) attributable to cause</v>
      </c>
      <c r="B1" s="29"/>
      <c r="C1" s="29"/>
      <c r="D1" s="29"/>
      <c r="E1" s="29"/>
      <c r="F1" s="29"/>
    </row>
    <row r="2" spans="1:8" ht="27.75" customHeight="1" x14ac:dyDescent="0.3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9.4482999999999841E-3</v>
      </c>
    </row>
    <row r="4" spans="1:8" ht="15.75" customHeight="1" x14ac:dyDescent="0.25">
      <c r="B4" s="19" t="s">
        <v>69</v>
      </c>
      <c r="C4" s="101">
        <v>6.0587099999999838E-2</v>
      </c>
    </row>
    <row r="5" spans="1:8" ht="15.75" customHeight="1" x14ac:dyDescent="0.25">
      <c r="B5" s="19" t="s">
        <v>70</v>
      </c>
      <c r="C5" s="101">
        <v>8.0444099999999921E-2</v>
      </c>
    </row>
    <row r="6" spans="1:8" ht="15.75" customHeight="1" x14ac:dyDescent="0.25">
      <c r="B6" s="19" t="s">
        <v>71</v>
      </c>
      <c r="C6" s="101">
        <v>0.24506110000000039</v>
      </c>
    </row>
    <row r="7" spans="1:8" ht="15.75" customHeight="1" x14ac:dyDescent="0.25">
      <c r="B7" s="19" t="s">
        <v>72</v>
      </c>
      <c r="C7" s="101">
        <v>0.41408430000000013</v>
      </c>
    </row>
    <row r="8" spans="1:8" ht="15.75" customHeight="1" x14ac:dyDescent="0.25">
      <c r="B8" s="19" t="s">
        <v>73</v>
      </c>
      <c r="C8" s="101">
        <v>1.210499999999998E-3</v>
      </c>
    </row>
    <row r="9" spans="1:8" ht="15.75" customHeight="1" x14ac:dyDescent="0.25">
      <c r="B9" s="19" t="s">
        <v>74</v>
      </c>
      <c r="C9" s="101">
        <v>7.320219999999994E-2</v>
      </c>
    </row>
    <row r="10" spans="1:8" ht="15.75" customHeight="1" x14ac:dyDescent="0.25">
      <c r="B10" s="19" t="s">
        <v>75</v>
      </c>
      <c r="C10" s="101">
        <v>0.1159623999999998</v>
      </c>
    </row>
    <row r="11" spans="1:8" ht="15.75" customHeight="1" x14ac:dyDescent="0.25">
      <c r="B11" s="27" t="s">
        <v>30</v>
      </c>
      <c r="C11" s="48">
        <f>SUM(C3:C10)</f>
        <v>0.99999999999999989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0.12181956141335119</v>
      </c>
      <c r="D14" s="55">
        <v>0.12181956141335119</v>
      </c>
      <c r="E14" s="55">
        <v>0.12181956141335119</v>
      </c>
      <c r="F14" s="55">
        <v>0.12181956141335119</v>
      </c>
    </row>
    <row r="15" spans="1:8" ht="15.75" customHeight="1" x14ac:dyDescent="0.25">
      <c r="B15" s="19" t="s">
        <v>82</v>
      </c>
      <c r="C15" s="101">
        <v>0.1525436960829033</v>
      </c>
      <c r="D15" s="101">
        <v>0.1525436960829033</v>
      </c>
      <c r="E15" s="101">
        <v>0.1525436960829033</v>
      </c>
      <c r="F15" s="101">
        <v>0.1525436960829033</v>
      </c>
    </row>
    <row r="16" spans="1:8" ht="15.75" customHeight="1" x14ac:dyDescent="0.25">
      <c r="B16" s="19" t="s">
        <v>83</v>
      </c>
      <c r="C16" s="101">
        <v>1.9379345713266979E-2</v>
      </c>
      <c r="D16" s="101">
        <v>1.9379345713266979E-2</v>
      </c>
      <c r="E16" s="101">
        <v>1.9379345713266979E-2</v>
      </c>
      <c r="F16" s="101">
        <v>1.9379345713266979E-2</v>
      </c>
    </row>
    <row r="17" spans="1:8" ht="15.75" customHeight="1" x14ac:dyDescent="0.25">
      <c r="B17" s="19" t="s">
        <v>84</v>
      </c>
      <c r="C17" s="101">
        <v>7.0679873364541653E-3</v>
      </c>
      <c r="D17" s="101">
        <v>7.0679873364541653E-3</v>
      </c>
      <c r="E17" s="101">
        <v>7.0679873364541653E-3</v>
      </c>
      <c r="F17" s="101">
        <v>7.0679873364541653E-3</v>
      </c>
    </row>
    <row r="18" spans="1:8" ht="15.75" customHeight="1" x14ac:dyDescent="0.25">
      <c r="B18" s="19" t="s">
        <v>85</v>
      </c>
      <c r="C18" s="101">
        <v>0.22238897098278571</v>
      </c>
      <c r="D18" s="101">
        <v>0.22238897098278571</v>
      </c>
      <c r="E18" s="101">
        <v>0.22238897098278571</v>
      </c>
      <c r="F18" s="101">
        <v>0.22238897098278571</v>
      </c>
    </row>
    <row r="19" spans="1:8" ht="15.75" customHeight="1" x14ac:dyDescent="0.25">
      <c r="B19" s="19" t="s">
        <v>86</v>
      </c>
      <c r="C19" s="101">
        <v>3.3325376474692817E-2</v>
      </c>
      <c r="D19" s="101">
        <v>3.3325376474692817E-2</v>
      </c>
      <c r="E19" s="101">
        <v>3.3325376474692817E-2</v>
      </c>
      <c r="F19" s="101">
        <v>3.3325376474692817E-2</v>
      </c>
    </row>
    <row r="20" spans="1:8" ht="15.75" customHeight="1" x14ac:dyDescent="0.25">
      <c r="B20" s="19" t="s">
        <v>87</v>
      </c>
      <c r="C20" s="101">
        <v>0.1144476671113132</v>
      </c>
      <c r="D20" s="101">
        <v>0.1144476671113132</v>
      </c>
      <c r="E20" s="101">
        <v>0.1144476671113132</v>
      </c>
      <c r="F20" s="101">
        <v>0.1144476671113132</v>
      </c>
    </row>
    <row r="21" spans="1:8" ht="15.75" customHeight="1" x14ac:dyDescent="0.25">
      <c r="B21" s="19" t="s">
        <v>88</v>
      </c>
      <c r="C21" s="101">
        <v>0.13423673221728019</v>
      </c>
      <c r="D21" s="101">
        <v>0.13423673221728019</v>
      </c>
      <c r="E21" s="101">
        <v>0.13423673221728019</v>
      </c>
      <c r="F21" s="101">
        <v>0.13423673221728019</v>
      </c>
    </row>
    <row r="22" spans="1:8" ht="15.75" customHeight="1" x14ac:dyDescent="0.25">
      <c r="B22" s="19" t="s">
        <v>89</v>
      </c>
      <c r="C22" s="101">
        <v>0.1947906626679525</v>
      </c>
      <c r="D22" s="101">
        <v>0.1947906626679525</v>
      </c>
      <c r="E22" s="101">
        <v>0.1947906626679525</v>
      </c>
      <c r="F22" s="101">
        <v>0.1947906626679525</v>
      </c>
    </row>
    <row r="23" spans="1:8" ht="15.75" customHeight="1" x14ac:dyDescent="0.25">
      <c r="B23" s="27" t="s">
        <v>30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6.6578172000000005E-2</v>
      </c>
    </row>
    <row r="27" spans="1:8" ht="15.75" customHeight="1" x14ac:dyDescent="0.25">
      <c r="B27" s="19" t="s">
        <v>92</v>
      </c>
      <c r="C27" s="101">
        <v>4.9825570000000003E-3</v>
      </c>
    </row>
    <row r="28" spans="1:8" ht="15.75" customHeight="1" x14ac:dyDescent="0.25">
      <c r="B28" s="19" t="s">
        <v>93</v>
      </c>
      <c r="C28" s="101">
        <v>0.12458364500000001</v>
      </c>
    </row>
    <row r="29" spans="1:8" ht="15.75" customHeight="1" x14ac:dyDescent="0.25">
      <c r="B29" s="19" t="s">
        <v>94</v>
      </c>
      <c r="C29" s="101">
        <v>0.123203627</v>
      </c>
    </row>
    <row r="30" spans="1:8" ht="15.75" customHeight="1" x14ac:dyDescent="0.25">
      <c r="B30" s="19" t="s">
        <v>95</v>
      </c>
      <c r="C30" s="101">
        <v>8.5390918999999996E-2</v>
      </c>
    </row>
    <row r="31" spans="1:8" ht="15.75" customHeight="1" x14ac:dyDescent="0.25">
      <c r="B31" s="19" t="s">
        <v>96</v>
      </c>
      <c r="C31" s="101">
        <v>0.13704649199999999</v>
      </c>
    </row>
    <row r="32" spans="1:8" ht="15.75" customHeight="1" x14ac:dyDescent="0.25">
      <c r="B32" s="19" t="s">
        <v>97</v>
      </c>
      <c r="C32" s="101">
        <v>1.3877614E-2</v>
      </c>
    </row>
    <row r="33" spans="2:3" ht="15.75" customHeight="1" x14ac:dyDescent="0.25">
      <c r="B33" s="19" t="s">
        <v>98</v>
      </c>
      <c r="C33" s="101">
        <v>0.162878947</v>
      </c>
    </row>
    <row r="34" spans="2:3" ht="15.75" customHeight="1" x14ac:dyDescent="0.25">
      <c r="B34" s="19" t="s">
        <v>99</v>
      </c>
      <c r="C34" s="101">
        <v>0.281458027</v>
      </c>
    </row>
    <row r="35" spans="2:3" ht="15.75" customHeight="1" x14ac:dyDescent="0.25">
      <c r="B35" s="27" t="s">
        <v>30</v>
      </c>
      <c r="C35" s="48">
        <f>SUM(C26:C34)</f>
        <v>1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"Percentage of population in each category in baseline year ("&amp;start_year&amp;")"</f>
        <v>Percentage of population in each category in baseline year (2024)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0.66907221117541471</v>
      </c>
      <c r="D2" s="52">
        <f>IFERROR(1-_xlfn.NORM.DIST(_xlfn.NORM.INV(SUM(D4:D5), 0, 1) + 1, 0, 1, TRUE), "")</f>
        <v>0.66907221117541471</v>
      </c>
      <c r="E2" s="52">
        <f>IFERROR(1-_xlfn.NORM.DIST(_xlfn.NORM.INV(SUM(E4:E5), 0, 1) + 1, 0, 1, TRUE), "")</f>
        <v>0.61858610074099551</v>
      </c>
      <c r="F2" s="52">
        <f>IFERROR(1-_xlfn.NORM.DIST(_xlfn.NORM.INV(SUM(F4:F5), 0, 1) + 1, 0, 1, TRUE), "")</f>
        <v>0.45590429923977593</v>
      </c>
      <c r="G2" s="52">
        <f>IFERROR(1-_xlfn.NORM.DIST(_xlfn.NORM.INV(SUM(G4:G5), 0, 1) + 1, 0, 1, TRUE), "")</f>
        <v>0.43778270998959623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0.25561888882458528</v>
      </c>
      <c r="D3" s="52">
        <f>IFERROR(_xlfn.NORM.DIST(_xlfn.NORM.INV(SUM(D4:D5), 0, 1) + 1, 0, 1, TRUE) - SUM(D4:D5), "")</f>
        <v>0.25561888882458528</v>
      </c>
      <c r="E3" s="52">
        <f>IFERROR(_xlfn.NORM.DIST(_xlfn.NORM.INV(SUM(E4:E5), 0, 1) + 1, 0, 1, TRUE) - SUM(E4:E5), "")</f>
        <v>0.28491629925900447</v>
      </c>
      <c r="F3" s="52">
        <f>IFERROR(_xlfn.NORM.DIST(_xlfn.NORM.INV(SUM(F4:F5), 0, 1) + 1, 0, 1, TRUE) - SUM(F4:F5), "")</f>
        <v>0.35715930076022406</v>
      </c>
      <c r="G3" s="52">
        <f>IFERROR(_xlfn.NORM.DIST(_xlfn.NORM.INV(SUM(G4:G5), 0, 1) + 1, 0, 1, TRUE) - SUM(G4:G5), "")</f>
        <v>0.36271679001040374</v>
      </c>
    </row>
    <row r="4" spans="1:15" ht="15.75" customHeight="1" x14ac:dyDescent="0.25">
      <c r="B4" s="5" t="s">
        <v>104</v>
      </c>
      <c r="C4" s="45">
        <v>4.8323999999999999E-2</v>
      </c>
      <c r="D4" s="53">
        <v>4.8323999999999999E-2</v>
      </c>
      <c r="E4" s="53">
        <v>7.00075E-2</v>
      </c>
      <c r="F4" s="53">
        <v>0.13699249999999999</v>
      </c>
      <c r="G4" s="53">
        <v>0.14552480000000001</v>
      </c>
    </row>
    <row r="5" spans="1:15" ht="15.75" customHeight="1" x14ac:dyDescent="0.25">
      <c r="B5" s="5" t="s">
        <v>105</v>
      </c>
      <c r="C5" s="45">
        <v>2.6984899999999999E-2</v>
      </c>
      <c r="D5" s="53">
        <v>2.6984899999999999E-2</v>
      </c>
      <c r="E5" s="53">
        <v>2.6490099999999999E-2</v>
      </c>
      <c r="F5" s="53">
        <v>4.9943899999999999E-2</v>
      </c>
      <c r="G5" s="53">
        <v>5.3975700000000001E-2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0.54336582884235329</v>
      </c>
      <c r="D8" s="52">
        <f>IFERROR(1-_xlfn.NORM.DIST(_xlfn.NORM.INV(SUM(D10:D11), 0, 1) + 1, 0, 1, TRUE), "")</f>
        <v>0.54336582884235329</v>
      </c>
      <c r="E8" s="52">
        <f>IFERROR(1-_xlfn.NORM.DIST(_xlfn.NORM.INV(SUM(E10:E11), 0, 1) + 1, 0, 1, TRUE), "")</f>
        <v>0.51614816595486235</v>
      </c>
      <c r="F8" s="52">
        <f>IFERROR(1-_xlfn.NORM.DIST(_xlfn.NORM.INV(SUM(F10:F11), 0, 1) + 1, 0, 1, TRUE), "")</f>
        <v>0.60643135268855997</v>
      </c>
      <c r="G8" s="52">
        <f>IFERROR(1-_xlfn.NORM.DIST(_xlfn.NORM.INV(SUM(G10:G11), 0, 1) + 1, 0, 1, TRUE), "")</f>
        <v>0.79123157495557583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0.32290117115764672</v>
      </c>
      <c r="D9" s="52">
        <f>IFERROR(_xlfn.NORM.DIST(_xlfn.NORM.INV(SUM(D10:D11), 0, 1) + 1, 0, 1, TRUE) - SUM(D10:D11), "")</f>
        <v>0.32290117115764672</v>
      </c>
      <c r="E9" s="52">
        <f>IFERROR(_xlfn.NORM.DIST(_xlfn.NORM.INV(SUM(E10:E11), 0, 1) + 1, 0, 1, TRUE) - SUM(E10:E11), "")</f>
        <v>0.33479533404513762</v>
      </c>
      <c r="F9" s="52">
        <f>IFERROR(_xlfn.NORM.DIST(_xlfn.NORM.INV(SUM(F10:F11), 0, 1) + 1, 0, 1, TRUE) - SUM(F10:F11), "")</f>
        <v>0.29153164731144005</v>
      </c>
      <c r="G9" s="52">
        <f>IFERROR(_xlfn.NORM.DIST(_xlfn.NORM.INV(SUM(G10:G11), 0, 1) + 1, 0, 1, TRUE) - SUM(G10:G11), "")</f>
        <v>0.17367492504442417</v>
      </c>
    </row>
    <row r="10" spans="1:15" ht="15.75" customHeight="1" x14ac:dyDescent="0.25">
      <c r="B10" s="5" t="s">
        <v>109</v>
      </c>
      <c r="C10" s="45">
        <v>8.9863300000000007E-2</v>
      </c>
      <c r="D10" s="53">
        <v>8.9863300000000007E-2</v>
      </c>
      <c r="E10" s="53">
        <v>0.12234349999999999</v>
      </c>
      <c r="F10" s="53">
        <v>8.4030900000000006E-2</v>
      </c>
      <c r="G10" s="53">
        <v>3.2996200000000003E-2</v>
      </c>
    </row>
    <row r="11" spans="1:15" ht="15.75" customHeight="1" x14ac:dyDescent="0.25">
      <c r="B11" s="5" t="s">
        <v>110</v>
      </c>
      <c r="C11" s="45">
        <v>4.3869699999999998E-2</v>
      </c>
      <c r="D11" s="53">
        <v>4.3869699999999998E-2</v>
      </c>
      <c r="E11" s="53">
        <v>2.6713000000000001E-2</v>
      </c>
      <c r="F11" s="53">
        <v>1.8006100000000001E-2</v>
      </c>
      <c r="G11" s="53">
        <v>2.0972999999999999E-3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0.76397983049999996</v>
      </c>
      <c r="D14" s="54">
        <v>0.75075595181599997</v>
      </c>
      <c r="E14" s="54">
        <v>0.75075595181599997</v>
      </c>
      <c r="F14" s="54">
        <v>0.65965136567799998</v>
      </c>
      <c r="G14" s="54">
        <v>0.65965136567799998</v>
      </c>
      <c r="H14" s="45">
        <v>0.54299999999999993</v>
      </c>
      <c r="I14" s="55">
        <v>0.54299999999999993</v>
      </c>
      <c r="J14" s="55">
        <v>0.54299999999999993</v>
      </c>
      <c r="K14" s="55">
        <v>0.54299999999999993</v>
      </c>
      <c r="L14" s="45">
        <v>0.45700000000000002</v>
      </c>
      <c r="M14" s="55">
        <v>0.45700000000000002</v>
      </c>
      <c r="N14" s="55">
        <v>0.45700000000000002</v>
      </c>
      <c r="O14" s="55">
        <v>0.45700000000000002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0.29862138022651807</v>
      </c>
      <c r="D15" s="52">
        <f t="shared" si="0"/>
        <v>0.2934524834220309</v>
      </c>
      <c r="E15" s="52">
        <f t="shared" si="0"/>
        <v>0.2934524834220309</v>
      </c>
      <c r="F15" s="52">
        <f t="shared" si="0"/>
        <v>0.25784188721075402</v>
      </c>
      <c r="G15" s="52">
        <f t="shared" si="0"/>
        <v>0.25784188721075402</v>
      </c>
      <c r="H15" s="52">
        <f t="shared" si="0"/>
        <v>0.21224566800000003</v>
      </c>
      <c r="I15" s="52">
        <f t="shared" si="0"/>
        <v>0.21224566800000003</v>
      </c>
      <c r="J15" s="52">
        <f t="shared" si="0"/>
        <v>0.21224566800000003</v>
      </c>
      <c r="K15" s="52">
        <f t="shared" si="0"/>
        <v>0.21224566800000003</v>
      </c>
      <c r="L15" s="52">
        <f t="shared" si="0"/>
        <v>0.17863033200000006</v>
      </c>
      <c r="M15" s="52">
        <f t="shared" si="0"/>
        <v>0.17863033200000006</v>
      </c>
      <c r="N15" s="52">
        <f t="shared" si="0"/>
        <v>0.17863033200000006</v>
      </c>
      <c r="O15" s="52">
        <f t="shared" si="0"/>
        <v>0.17863033200000006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"Percentage of children in each category in baseline year ("&amp;start_year&amp;")"</f>
        <v>Percentage of children in each category in baseline year (2024)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0.63748349999999998</v>
      </c>
      <c r="D2" s="53">
        <v>0.38182569999999999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0.210618</v>
      </c>
      <c r="D3" s="53">
        <v>0.211954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0.1174632</v>
      </c>
      <c r="D4" s="53">
        <v>0.38791469999999989</v>
      </c>
      <c r="E4" s="53">
        <v>0.98155690000000007</v>
      </c>
      <c r="F4" s="53">
        <v>0.66134090000000001</v>
      </c>
      <c r="G4" s="53">
        <v>0</v>
      </c>
    </row>
    <row r="5" spans="1:7" x14ac:dyDescent="0.25">
      <c r="B5" s="3" t="s">
        <v>122</v>
      </c>
      <c r="C5" s="52">
        <v>3.4435300000000002E-2</v>
      </c>
      <c r="D5" s="52">
        <v>1.8305600000000002E-2</v>
      </c>
      <c r="E5" s="52">
        <f>1-SUM(E2:E4)</f>
        <v>1.8443099999999935E-2</v>
      </c>
      <c r="F5" s="52">
        <f>1-SUM(F2:F4)</f>
        <v>0.33865909999999999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ht="13" customHeight="1" x14ac:dyDescent="0.3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ht="13" customHeight="1" x14ac:dyDescent="0.3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ht="13" customHeight="1" x14ac:dyDescent="0.3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1</v>
      </c>
      <c r="B1" s="36" t="s">
        <v>153</v>
      </c>
      <c r="C1" s="40" t="s">
        <v>154</v>
      </c>
      <c r="D1" s="40" t="s">
        <v>155</v>
      </c>
    </row>
    <row r="2" spans="1:4" ht="13" customHeight="1" x14ac:dyDescent="0.3">
      <c r="A2" s="40" t="s">
        <v>156</v>
      </c>
      <c r="B2" s="32" t="s">
        <v>157</v>
      </c>
      <c r="C2" s="32" t="s">
        <v>158</v>
      </c>
      <c r="D2" s="47"/>
    </row>
    <row r="3" spans="1:4" ht="13" customHeight="1" x14ac:dyDescent="0.3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56A3DB4B0A5FF4A85E5854FA9B1BD84" ma:contentTypeVersion="6" ma:contentTypeDescription="Create a new document." ma:contentTypeScope="" ma:versionID="107b52809c0cc4b5077f1ac81d3c69cc">
  <xsd:schema xmlns:xsd="http://www.w3.org/2001/XMLSchema" xmlns:xs="http://www.w3.org/2001/XMLSchema" xmlns:p="http://schemas.microsoft.com/office/2006/metadata/properties" xmlns:ns2="5de2aea6-bdc3-4e5f-b0ae-84d85b5764e4" targetNamespace="http://schemas.microsoft.com/office/2006/metadata/properties" ma:root="true" ma:fieldsID="82b7e1b740270cfb0676be859a78f3d0" ns2:_="">
    <xsd:import namespace="5de2aea6-bdc3-4e5f-b0ae-84d85b5764e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e2aea6-bdc3-4e5f-b0ae-84d85b5764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179C270-EA32-4F54-BF70-08B849370342}"/>
</file>

<file path=customXml/itemProps2.xml><?xml version="1.0" encoding="utf-8"?>
<ds:datastoreItem xmlns:ds="http://schemas.openxmlformats.org/officeDocument/2006/customXml" ds:itemID="{2F7C907B-1401-4148-B98B-223A7DD0ABC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2024-03-26T04:24:33Z</dcterms:modified>
</cp:coreProperties>
</file>