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EF82335-6692-475D-BFAE-1FA628A5510B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29" i="2"/>
  <c r="A21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6" i="2" s="1"/>
  <c r="C33" i="1"/>
  <c r="C20" i="1"/>
  <c r="A15" i="2" l="1"/>
  <c r="A23" i="2"/>
  <c r="A31" i="2"/>
  <c r="A16" i="2"/>
  <c r="A24" i="2"/>
  <c r="A32" i="2"/>
  <c r="A22" i="2"/>
  <c r="A40" i="2"/>
  <c r="A30" i="2"/>
  <c r="A17" i="2"/>
  <c r="A25" i="2"/>
  <c r="A3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14" i="2"/>
  <c r="A19" i="2"/>
  <c r="A27" i="2"/>
  <c r="A35" i="2"/>
  <c r="A38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<sst xmlns="http://schemas.openxmlformats.org/spreadsheetml/2006/main" count="2092" uniqueCount="341">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</sst>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1273383.1796875</v>
      </c>
    </row>
    <row r="8" spans="1:3" ht="15" customHeight="1" x14ac:dyDescent="0.25">
      <c r="B8" s="5" t="s">
        <v>8</v>
      </c>
      <c r="C8" s="44">
        <v>0.24199999999999999</v>
      </c>
    </row>
    <row r="9" spans="1:3" ht="15" customHeight="1" x14ac:dyDescent="0.25">
      <c r="B9" s="5" t="s">
        <v>9</v>
      </c>
      <c r="C9" s="45">
        <v>7.2000000000000008E-2</v>
      </c>
    </row>
    <row r="10" spans="1:3" ht="15" customHeight="1" x14ac:dyDescent="0.25">
      <c r="B10" s="5" t="s">
        <v>10</v>
      </c>
      <c r="C10" s="45">
        <v>0.78792312620000005</v>
      </c>
    </row>
    <row r="11" spans="1:3" ht="15" customHeight="1" x14ac:dyDescent="0.25">
      <c r="B11" s="5" t="s">
        <v>11</v>
      </c>
      <c r="C11" s="45">
        <v>0.66599999999999993</v>
      </c>
    </row>
    <row r="12" spans="1:3" ht="15" customHeight="1" x14ac:dyDescent="0.25">
      <c r="B12" s="5" t="s">
        <v>12</v>
      </c>
      <c r="C12" s="45">
        <v>0.78099999999999992</v>
      </c>
    </row>
    <row r="13" spans="1:3" ht="15" customHeight="1" x14ac:dyDescent="0.25">
      <c r="B13" s="5" t="s">
        <v>13</v>
      </c>
      <c r="C13" s="45">
        <v>0.56000000000000005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7.2900000000000006E-2</v>
      </c>
    </row>
    <row r="24" spans="1:3" ht="15" customHeight="1" x14ac:dyDescent="0.25">
      <c r="B24" s="15" t="s">
        <v>22</v>
      </c>
      <c r="C24" s="45">
        <v>0.45440000000000003</v>
      </c>
    </row>
    <row r="25" spans="1:3" ht="15" customHeight="1" x14ac:dyDescent="0.25">
      <c r="B25" s="15" t="s">
        <v>23</v>
      </c>
      <c r="C25" s="45">
        <v>0.37469999999999998</v>
      </c>
    </row>
    <row r="26" spans="1:3" ht="15" customHeight="1" x14ac:dyDescent="0.25">
      <c r="B26" s="15" t="s">
        <v>24</v>
      </c>
      <c r="C26" s="45">
        <v>9.8000000000000004E-2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0.313922160131612</v>
      </c>
    </row>
    <row r="30" spans="1:3" ht="14.25" customHeight="1" x14ac:dyDescent="0.25">
      <c r="B30" s="25" t="s">
        <v>27</v>
      </c>
      <c r="C30" s="99">
        <v>4.8182353063125502E-2</v>
      </c>
    </row>
    <row r="31" spans="1:3" ht="14.25" customHeight="1" x14ac:dyDescent="0.25">
      <c r="B31" s="25" t="s">
        <v>28</v>
      </c>
      <c r="C31" s="99">
        <v>7.3364831683659995E-2</v>
      </c>
    </row>
    <row r="32" spans="1:3" ht="14.25" customHeight="1" x14ac:dyDescent="0.25">
      <c r="B32" s="25" t="s">
        <v>29</v>
      </c>
      <c r="C32" s="99">
        <v>0.56453065512160205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24.281790000000001</v>
      </c>
    </row>
    <row r="38" spans="1:5" ht="15" customHeight="1" x14ac:dyDescent="0.25">
      <c r="B38" s="11" t="s">
        <v>34</v>
      </c>
      <c r="C38" s="43">
        <v>45.410170000000001</v>
      </c>
      <c r="D38" s="12"/>
      <c r="E38" s="13"/>
    </row>
    <row r="39" spans="1:5" ht="15" customHeight="1" x14ac:dyDescent="0.25">
      <c r="B39" s="11" t="s">
        <v>35</v>
      </c>
      <c r="C39" s="43">
        <v>58.632680000000001</v>
      </c>
      <c r="D39" s="12"/>
      <c r="E39" s="12"/>
    </row>
    <row r="40" spans="1:5" ht="15" customHeight="1" x14ac:dyDescent="0.25">
      <c r="B40" s="11" t="s">
        <v>36</v>
      </c>
      <c r="C40" s="100">
        <v>3.5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17.717009999999998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7.1995999999999996E-3</v>
      </c>
      <c r="D45" s="12"/>
    </row>
    <row r="46" spans="1:5" ht="15.75" customHeight="1" x14ac:dyDescent="0.25">
      <c r="B46" s="11" t="s">
        <v>41</v>
      </c>
      <c r="C46" s="45">
        <v>7.7358700000000002E-2</v>
      </c>
      <c r="D46" s="12"/>
    </row>
    <row r="47" spans="1:5" ht="15.75" customHeight="1" x14ac:dyDescent="0.25">
      <c r="B47" s="11" t="s">
        <v>42</v>
      </c>
      <c r="C47" s="45">
        <v>7.4154299999999992E-2</v>
      </c>
      <c r="D47" s="12"/>
      <c r="E47" s="13"/>
    </row>
    <row r="48" spans="1:5" ht="15" customHeight="1" x14ac:dyDescent="0.25">
      <c r="B48" s="11" t="s">
        <v>43</v>
      </c>
      <c r="C48" s="46">
        <v>0.84128739999999991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0.455787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0.17473726479453999</v>
      </c>
      <c r="C2" s="98">
        <v>0.95</v>
      </c>
      <c r="D2" s="56">
        <v>36.314322339717627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47.396457506944927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73.95954362537492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0.1158453830081817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15.05570683744001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15.05570683744001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15.05570683744001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15.05570683744001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15.05570683744001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15.05570683744001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0.23093564031105701</v>
      </c>
      <c r="C16" s="98">
        <v>0.95</v>
      </c>
      <c r="D16" s="56">
        <v>0.25737104316799292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1.8074989747168151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1.8074989747168151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0.63865939999999999</v>
      </c>
      <c r="C21" s="98">
        <v>0.95</v>
      </c>
      <c r="D21" s="56">
        <v>1.1459341628410029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25.663027124609449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1.9524400000000001E-2</v>
      </c>
      <c r="C23" s="98">
        <v>0.95</v>
      </c>
      <c r="D23" s="56">
        <v>4.9354522743270124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0.217519374398254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0.17961896953935499</v>
      </c>
      <c r="C27" s="98">
        <v>0.95</v>
      </c>
      <c r="D27" s="56">
        <v>21.733846424218829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0.39322339999999989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64.086600374027668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0.18079999999999999</v>
      </c>
      <c r="C31" s="98">
        <v>0.95</v>
      </c>
      <c r="D31" s="56">
        <v>0.87638737554351476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0.30287550000000002</v>
      </c>
      <c r="C32" s="98">
        <v>0.95</v>
      </c>
      <c r="D32" s="56">
        <v>0.49216312756226022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0.37475879999999989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6.2197199999999987E-2</v>
      </c>
      <c r="C38" s="98">
        <v>0.95</v>
      </c>
      <c r="D38" s="56">
        <v>4.9717444122782668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0.19176319999999999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0.14373501999999999</v>
      </c>
      <c r="C3" s="21">
        <f>frac_mam_1_5months * 2.6</f>
        <v>0.14373501999999999</v>
      </c>
      <c r="D3" s="21">
        <f>frac_mam_6_11months * 2.6</f>
        <v>0.176124</v>
      </c>
      <c r="E3" s="21">
        <f>frac_mam_12_23months * 2.6</f>
        <v>9.242402000000001E-2</v>
      </c>
      <c r="F3" s="21">
        <f>frac_mam_24_59months * 2.6</f>
        <v>4.4845059999999999E-2</v>
      </c>
    </row>
    <row r="4" spans="1:6" ht="15.75" customHeight="1" x14ac:dyDescent="0.25">
      <c r="A4" s="3" t="s">
        <v>205</v>
      </c>
      <c r="B4" s="21">
        <f>frac_sam_1month * 2.6</f>
        <v>5.9955740000000007E-2</v>
      </c>
      <c r="C4" s="21">
        <f>frac_sam_1_5months * 2.6</f>
        <v>5.9955740000000007E-2</v>
      </c>
      <c r="D4" s="21">
        <f>frac_sam_6_11months * 2.6</f>
        <v>2.9245840000000002E-2</v>
      </c>
      <c r="E4" s="21">
        <f>frac_sam_12_23months * 2.6</f>
        <v>3.0915559999999998E-2</v>
      </c>
      <c r="F4" s="21">
        <f>frac_sam_24_59months * 2.6</f>
        <v>1.149408E-2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0.24199999999999999</v>
      </c>
      <c r="E2" s="60">
        <f>food_insecure</f>
        <v>0.24199999999999999</v>
      </c>
      <c r="F2" s="60">
        <f>food_insecure</f>
        <v>0.24199999999999999</v>
      </c>
      <c r="G2" s="60">
        <f>food_insecure</f>
        <v>0.24199999999999999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0.24199999999999999</v>
      </c>
      <c r="F5" s="60">
        <f>food_insecure</f>
        <v>0.24199999999999999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0.24199999999999999</v>
      </c>
      <c r="F8" s="60">
        <f>food_insecure</f>
        <v>0.24199999999999999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0.24199999999999999</v>
      </c>
      <c r="F9" s="60">
        <f>food_insecure</f>
        <v>0.24199999999999999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0.78099999999999992</v>
      </c>
      <c r="E10" s="60">
        <f>IF(ISBLANK(comm_deliv), frac_children_health_facility,1)</f>
        <v>0.78099999999999992</v>
      </c>
      <c r="F10" s="60">
        <f>IF(ISBLANK(comm_deliv), frac_children_health_facility,1)</f>
        <v>0.78099999999999992</v>
      </c>
      <c r="G10" s="60">
        <f>IF(ISBLANK(comm_deliv), frac_children_health_facility,1)</f>
        <v>0.78099999999999992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0.24199999999999999</v>
      </c>
      <c r="I15" s="60">
        <f>food_insecure</f>
        <v>0.24199999999999999</v>
      </c>
      <c r="J15" s="60">
        <f>food_insecure</f>
        <v>0.24199999999999999</v>
      </c>
      <c r="K15" s="60">
        <f>food_insecure</f>
        <v>0.24199999999999999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0.66599999999999993</v>
      </c>
      <c r="I18" s="60">
        <f>frac_PW_health_facility</f>
        <v>0.66599999999999993</v>
      </c>
      <c r="J18" s="60">
        <f>frac_PW_health_facility</f>
        <v>0.66599999999999993</v>
      </c>
      <c r="K18" s="60">
        <f>frac_PW_health_facility</f>
        <v>0.66599999999999993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7.2000000000000008E-2</v>
      </c>
      <c r="I19" s="60">
        <f>frac_malaria_risk</f>
        <v>7.2000000000000008E-2</v>
      </c>
      <c r="J19" s="60">
        <f>frac_malaria_risk</f>
        <v>7.2000000000000008E-2</v>
      </c>
      <c r="K19" s="60">
        <f>frac_malaria_risk</f>
        <v>7.2000000000000008E-2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0.56000000000000005</v>
      </c>
      <c r="M24" s="60">
        <f>famplan_unmet_need</f>
        <v>0.56000000000000005</v>
      </c>
      <c r="N24" s="60">
        <f>famplan_unmet_need</f>
        <v>0.56000000000000005</v>
      </c>
      <c r="O24" s="60">
        <f>famplan_unmet_need</f>
        <v>0.56000000000000005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0.11469541488851596</v>
      </c>
      <c r="M25" s="60">
        <f>(1-food_insecure)*(0.49)+food_insecure*(0.7)</f>
        <v>0.54081999999999997</v>
      </c>
      <c r="N25" s="60">
        <f>(1-food_insecure)*(0.49)+food_insecure*(0.7)</f>
        <v>0.54081999999999997</v>
      </c>
      <c r="O25" s="60">
        <f>(1-food_insecure)*(0.49)+food_insecure*(0.7)</f>
        <v>0.54081999999999997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4.9155177809363987E-2</v>
      </c>
      <c r="M26" s="60">
        <f>(1-food_insecure)*(0.21)+food_insecure*(0.3)</f>
        <v>0.23177999999999999</v>
      </c>
      <c r="N26" s="60">
        <f>(1-food_insecure)*(0.21)+food_insecure*(0.3)</f>
        <v>0.23177999999999999</v>
      </c>
      <c r="O26" s="60">
        <f>(1-food_insecure)*(0.21)+food_insecure*(0.3)</f>
        <v>0.23177999999999999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4.8226281102119989E-2</v>
      </c>
      <c r="M27" s="60">
        <f>(1-food_insecure)*(0.3)</f>
        <v>0.22739999999999999</v>
      </c>
      <c r="N27" s="60">
        <f>(1-food_insecure)*(0.3)</f>
        <v>0.22739999999999999</v>
      </c>
      <c r="O27" s="60">
        <f>(1-food_insecure)*(0.3)</f>
        <v>0.22739999999999999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0.78792312619999993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7.2000000000000008E-2</v>
      </c>
      <c r="D34" s="60">
        <f t="shared" si="3"/>
        <v>7.2000000000000008E-2</v>
      </c>
      <c r="E34" s="60">
        <f t="shared" si="3"/>
        <v>7.2000000000000008E-2</v>
      </c>
      <c r="F34" s="60">
        <f t="shared" si="3"/>
        <v>7.2000000000000008E-2</v>
      </c>
      <c r="G34" s="60">
        <f t="shared" si="3"/>
        <v>7.2000000000000008E-2</v>
      </c>
      <c r="H34" s="60">
        <f t="shared" si="3"/>
        <v>7.2000000000000008E-2</v>
      </c>
      <c r="I34" s="60">
        <f t="shared" si="3"/>
        <v>7.2000000000000008E-2</v>
      </c>
      <c r="J34" s="60">
        <f t="shared" si="3"/>
        <v>7.2000000000000008E-2</v>
      </c>
      <c r="K34" s="60">
        <f t="shared" si="3"/>
        <v>7.2000000000000008E-2</v>
      </c>
      <c r="L34" s="60">
        <f t="shared" si="3"/>
        <v>7.2000000000000008E-2</v>
      </c>
      <c r="M34" s="60">
        <f t="shared" si="3"/>
        <v>7.2000000000000008E-2</v>
      </c>
      <c r="N34" s="60">
        <f t="shared" si="3"/>
        <v>7.2000000000000008E-2</v>
      </c>
      <c r="O34" s="60">
        <f t="shared" si="3"/>
        <v>7.2000000000000008E-2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253524.21459999989</v>
      </c>
      <c r="C2" s="49">
        <v>572000</v>
      </c>
      <c r="D2" s="49">
        <v>1060000</v>
      </c>
      <c r="E2" s="49">
        <v>922000</v>
      </c>
      <c r="F2" s="49">
        <v>691000</v>
      </c>
      <c r="G2" s="17">
        <f t="shared" ref="G2:G13" si="0">C2+D2+E2+F2</f>
        <v>3245000</v>
      </c>
      <c r="H2" s="17">
        <f t="shared" ref="H2:H13" si="1">(B2 + stillbirth*B2/(1000-stillbirth))/(1-abortion)</f>
        <v>293291.95490709943</v>
      </c>
      <c r="I2" s="17">
        <f t="shared" ref="I2:I13" si="2">G2-H2</f>
        <v>2951708.0450929007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251909.76199999999</v>
      </c>
      <c r="C3" s="50">
        <v>574000</v>
      </c>
      <c r="D3" s="50">
        <v>1066000</v>
      </c>
      <c r="E3" s="50">
        <v>928000</v>
      </c>
      <c r="F3" s="50">
        <v>718000</v>
      </c>
      <c r="G3" s="17">
        <f t="shared" si="0"/>
        <v>3286000</v>
      </c>
      <c r="H3" s="17">
        <f t="shared" si="1"/>
        <v>291424.25970525882</v>
      </c>
      <c r="I3" s="17">
        <f t="shared" si="2"/>
        <v>2994575.740294741</v>
      </c>
    </row>
    <row r="4" spans="1:9" ht="15.75" customHeight="1" x14ac:dyDescent="0.25">
      <c r="A4" s="5">
        <f t="shared" si="3"/>
        <v>2026</v>
      </c>
      <c r="B4" s="49">
        <v>250596.114</v>
      </c>
      <c r="C4" s="50">
        <v>575000</v>
      </c>
      <c r="D4" s="50">
        <v>1070000</v>
      </c>
      <c r="E4" s="50">
        <v>936000</v>
      </c>
      <c r="F4" s="50">
        <v>743000</v>
      </c>
      <c r="G4" s="17">
        <f t="shared" si="0"/>
        <v>3324000</v>
      </c>
      <c r="H4" s="17">
        <f t="shared" si="1"/>
        <v>289904.55323229852</v>
      </c>
      <c r="I4" s="17">
        <f t="shared" si="2"/>
        <v>3034095.4467677013</v>
      </c>
    </row>
    <row r="5" spans="1:9" ht="15.75" customHeight="1" x14ac:dyDescent="0.25">
      <c r="A5" s="5">
        <f t="shared" si="3"/>
        <v>2027</v>
      </c>
      <c r="B5" s="49">
        <v>249190.149</v>
      </c>
      <c r="C5" s="50">
        <v>575000</v>
      </c>
      <c r="D5" s="50">
        <v>1075000</v>
      </c>
      <c r="E5" s="50">
        <v>943000</v>
      </c>
      <c r="F5" s="50">
        <v>766000</v>
      </c>
      <c r="G5" s="17">
        <f t="shared" si="0"/>
        <v>3359000</v>
      </c>
      <c r="H5" s="17">
        <f t="shared" si="1"/>
        <v>288278.04893947759</v>
      </c>
      <c r="I5" s="17">
        <f t="shared" si="2"/>
        <v>3070721.9510605223</v>
      </c>
    </row>
    <row r="6" spans="1:9" ht="15.75" customHeight="1" x14ac:dyDescent="0.25">
      <c r="A6" s="5">
        <f t="shared" si="3"/>
        <v>2028</v>
      </c>
      <c r="B6" s="49">
        <v>247632.53599999999</v>
      </c>
      <c r="C6" s="50">
        <v>574000</v>
      </c>
      <c r="D6" s="50">
        <v>1079000</v>
      </c>
      <c r="E6" s="50">
        <v>950000</v>
      </c>
      <c r="F6" s="50">
        <v>788000</v>
      </c>
      <c r="G6" s="17">
        <f t="shared" si="0"/>
        <v>3391000</v>
      </c>
      <c r="H6" s="17">
        <f t="shared" si="1"/>
        <v>286476.10918204853</v>
      </c>
      <c r="I6" s="17">
        <f t="shared" si="2"/>
        <v>3104523.8908179514</v>
      </c>
    </row>
    <row r="7" spans="1:9" ht="15.75" customHeight="1" x14ac:dyDescent="0.25">
      <c r="A7" s="5">
        <f t="shared" si="3"/>
        <v>2029</v>
      </c>
      <c r="B7" s="49">
        <v>245966.54900000009</v>
      </c>
      <c r="C7" s="50">
        <v>573000</v>
      </c>
      <c r="D7" s="50">
        <v>1083000</v>
      </c>
      <c r="E7" s="50">
        <v>957000</v>
      </c>
      <c r="F7" s="50">
        <v>807000</v>
      </c>
      <c r="G7" s="17">
        <f t="shared" si="0"/>
        <v>3420000</v>
      </c>
      <c r="H7" s="17">
        <f t="shared" si="1"/>
        <v>284548.79590804543</v>
      </c>
      <c r="I7" s="17">
        <f t="shared" si="2"/>
        <v>3135451.2040919545</v>
      </c>
    </row>
    <row r="8" spans="1:9" ht="15.75" customHeight="1" x14ac:dyDescent="0.25">
      <c r="A8" s="5">
        <f t="shared" si="3"/>
        <v>2030</v>
      </c>
      <c r="B8" s="49">
        <v>244194.04800000001</v>
      </c>
      <c r="C8" s="50">
        <v>572000</v>
      </c>
      <c r="D8" s="50">
        <v>1087000</v>
      </c>
      <c r="E8" s="50">
        <v>963000</v>
      </c>
      <c r="F8" s="50">
        <v>822000</v>
      </c>
      <c r="G8" s="17">
        <f t="shared" si="0"/>
        <v>3444000</v>
      </c>
      <c r="H8" s="17">
        <f t="shared" si="1"/>
        <v>282498.26087656914</v>
      </c>
      <c r="I8" s="17">
        <f t="shared" si="2"/>
        <v>3161501.739123431</v>
      </c>
    </row>
    <row r="9" spans="1:9" ht="15.75" customHeight="1" x14ac:dyDescent="0.25">
      <c r="A9" s="5">
        <f t="shared" si="3"/>
        <v>2031</v>
      </c>
      <c r="B9" s="49">
        <v>242861.16705714291</v>
      </c>
      <c r="C9" s="50">
        <v>572000</v>
      </c>
      <c r="D9" s="50">
        <v>1090857.142857143</v>
      </c>
      <c r="E9" s="50">
        <v>968857.14285714284</v>
      </c>
      <c r="F9" s="50">
        <v>840714.28571428568</v>
      </c>
      <c r="G9" s="17">
        <f t="shared" si="0"/>
        <v>3472428.5714285718</v>
      </c>
      <c r="H9" s="17">
        <f t="shared" si="1"/>
        <v>280956.30458649341</v>
      </c>
      <c r="I9" s="17">
        <f t="shared" si="2"/>
        <v>3191472.2668420784</v>
      </c>
    </row>
    <row r="10" spans="1:9" ht="15.75" customHeight="1" x14ac:dyDescent="0.25">
      <c r="A10" s="5">
        <f t="shared" si="3"/>
        <v>2032</v>
      </c>
      <c r="B10" s="49">
        <v>241568.51063673469</v>
      </c>
      <c r="C10" s="50">
        <v>571714.28571428568</v>
      </c>
      <c r="D10" s="50">
        <v>1094408.163265306</v>
      </c>
      <c r="E10" s="50">
        <v>974693.87755102036</v>
      </c>
      <c r="F10" s="50">
        <v>858244.89795918367</v>
      </c>
      <c r="G10" s="17">
        <f t="shared" si="0"/>
        <v>3499061.224489796</v>
      </c>
      <c r="H10" s="17">
        <f t="shared" si="1"/>
        <v>279460.8824266697</v>
      </c>
      <c r="I10" s="17">
        <f t="shared" si="2"/>
        <v>3219600.3420631262</v>
      </c>
    </row>
    <row r="11" spans="1:9" ht="15.75" customHeight="1" x14ac:dyDescent="0.25">
      <c r="A11" s="5">
        <f t="shared" si="3"/>
        <v>2033</v>
      </c>
      <c r="B11" s="49">
        <v>240278.85301341111</v>
      </c>
      <c r="C11" s="50">
        <v>571244.89795918367</v>
      </c>
      <c r="D11" s="50">
        <v>1097895.0437317791</v>
      </c>
      <c r="E11" s="50">
        <v>980221.57434402325</v>
      </c>
      <c r="F11" s="50">
        <v>874708.4548104956</v>
      </c>
      <c r="G11" s="17">
        <f t="shared" si="0"/>
        <v>3524069.9708454814</v>
      </c>
      <c r="H11" s="17">
        <f t="shared" si="1"/>
        <v>277968.92945443705</v>
      </c>
      <c r="I11" s="17">
        <f t="shared" si="2"/>
        <v>3246101.0413910444</v>
      </c>
    </row>
    <row r="12" spans="1:9" ht="15.75" customHeight="1" x14ac:dyDescent="0.25">
      <c r="A12" s="5">
        <f t="shared" si="3"/>
        <v>2034</v>
      </c>
      <c r="B12" s="49">
        <v>239005.81072961271</v>
      </c>
      <c r="C12" s="50">
        <v>570708.4548104956</v>
      </c>
      <c r="D12" s="50">
        <v>1101165.76426489</v>
      </c>
      <c r="E12" s="50">
        <v>985538.94210745511</v>
      </c>
      <c r="F12" s="50">
        <v>890238.23406913783</v>
      </c>
      <c r="G12" s="17">
        <f t="shared" si="0"/>
        <v>3547651.3952519782</v>
      </c>
      <c r="H12" s="17">
        <f t="shared" si="1"/>
        <v>276496.19809943135</v>
      </c>
      <c r="I12" s="17">
        <f t="shared" si="2"/>
        <v>3271155.1971525466</v>
      </c>
    </row>
    <row r="13" spans="1:9" ht="15.75" customHeight="1" x14ac:dyDescent="0.25">
      <c r="A13" s="5">
        <f t="shared" si="3"/>
        <v>2035</v>
      </c>
      <c r="B13" s="49">
        <v>237773.4214052716</v>
      </c>
      <c r="C13" s="50">
        <v>570238.23406913783</v>
      </c>
      <c r="D13" s="50">
        <v>1104332.302017017</v>
      </c>
      <c r="E13" s="50">
        <v>990615.93383709155</v>
      </c>
      <c r="F13" s="50">
        <v>904843.69607901468</v>
      </c>
      <c r="G13" s="17">
        <f t="shared" si="0"/>
        <v>3570030.1660022615</v>
      </c>
      <c r="H13" s="17">
        <f t="shared" si="1"/>
        <v>275070.49651620019</v>
      </c>
      <c r="I13" s="17">
        <f t="shared" si="2"/>
        <v>3294959.6694860612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0.6095256309111311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0.58153641972231873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0.86557466093112578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0.85146651565102283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0.86557466093112578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0.85146651565102283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0.40824927144389989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0.38049624286458894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0.83265412757060331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0.81582607744353819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0.83265412757060331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0.81582607744353819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0.9098907373377394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0.89989573640425191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0.89876612839061132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0.88768948608742904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0.89876612839061132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0.88768948608742904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0.86130374479889038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1.457150145715014E-2</v>
      </c>
    </row>
    <row r="4" spans="1:8" ht="15.75" customHeight="1" x14ac:dyDescent="0.25">
      <c r="B4" s="19" t="s">
        <v>69</v>
      </c>
      <c r="C4" s="101">
        <v>5.6389805638980627E-2</v>
      </c>
    </row>
    <row r="5" spans="1:8" ht="15.75" customHeight="1" x14ac:dyDescent="0.25">
      <c r="B5" s="19" t="s">
        <v>70</v>
      </c>
      <c r="C5" s="101">
        <v>9.5235509523551004E-2</v>
      </c>
    </row>
    <row r="6" spans="1:8" ht="15.75" customHeight="1" x14ac:dyDescent="0.25">
      <c r="B6" s="19" t="s">
        <v>71</v>
      </c>
      <c r="C6" s="101">
        <v>0.24108282410828241</v>
      </c>
    </row>
    <row r="7" spans="1:8" ht="15.75" customHeight="1" x14ac:dyDescent="0.25">
      <c r="B7" s="19" t="s">
        <v>72</v>
      </c>
      <c r="C7" s="101">
        <v>0.38396373839637371</v>
      </c>
    </row>
    <row r="8" spans="1:8" ht="15.75" customHeight="1" x14ac:dyDescent="0.25">
      <c r="B8" s="19" t="s">
        <v>73</v>
      </c>
      <c r="C8" s="101">
        <v>4.505000450500056E-3</v>
      </c>
    </row>
    <row r="9" spans="1:8" ht="15.75" customHeight="1" x14ac:dyDescent="0.25">
      <c r="B9" s="19" t="s">
        <v>74</v>
      </c>
      <c r="C9" s="101">
        <v>7.3147507314750781E-2</v>
      </c>
    </row>
    <row r="10" spans="1:8" ht="15.75" customHeight="1" x14ac:dyDescent="0.25">
      <c r="B10" s="19" t="s">
        <v>75</v>
      </c>
      <c r="C10" s="101">
        <v>0.1311041131104114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0.21106080706727851</v>
      </c>
      <c r="D14" s="55">
        <v>0.21106080706727851</v>
      </c>
      <c r="E14" s="55">
        <v>0.21106080706727851</v>
      </c>
      <c r="F14" s="55">
        <v>0.21106080706727851</v>
      </c>
    </row>
    <row r="15" spans="1:8" ht="15.75" customHeight="1" x14ac:dyDescent="0.25">
      <c r="B15" s="19" t="s">
        <v>82</v>
      </c>
      <c r="C15" s="101">
        <v>0.41237195447993258</v>
      </c>
      <c r="D15" s="101">
        <v>0.41237195447993258</v>
      </c>
      <c r="E15" s="101">
        <v>0.41237195447993258</v>
      </c>
      <c r="F15" s="101">
        <v>0.41237195447993258</v>
      </c>
    </row>
    <row r="16" spans="1:8" ht="15.75" customHeight="1" x14ac:dyDescent="0.25">
      <c r="B16" s="19" t="s">
        <v>83</v>
      </c>
      <c r="C16" s="101">
        <v>4.0164812369605563E-2</v>
      </c>
      <c r="D16" s="101">
        <v>4.0164812369605563E-2</v>
      </c>
      <c r="E16" s="101">
        <v>4.0164812369605563E-2</v>
      </c>
      <c r="F16" s="101">
        <v>4.0164812369605563E-2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9.8733560397260348E-4</v>
      </c>
      <c r="D18" s="101">
        <v>9.8733560397260348E-4</v>
      </c>
      <c r="E18" s="101">
        <v>9.8733560397260348E-4</v>
      </c>
      <c r="F18" s="101">
        <v>9.8733560397260348E-4</v>
      </c>
    </row>
    <row r="19" spans="1:8" ht="15.75" customHeight="1" x14ac:dyDescent="0.25">
      <c r="B19" s="19" t="s">
        <v>86</v>
      </c>
      <c r="C19" s="101">
        <v>2.6499715031151418E-2</v>
      </c>
      <c r="D19" s="101">
        <v>2.6499715031151418E-2</v>
      </c>
      <c r="E19" s="101">
        <v>2.6499715031151418E-2</v>
      </c>
      <c r="F19" s="101">
        <v>2.6499715031151418E-2</v>
      </c>
    </row>
    <row r="20" spans="1:8" ht="15.75" customHeight="1" x14ac:dyDescent="0.25">
      <c r="B20" s="19" t="s">
        <v>87</v>
      </c>
      <c r="C20" s="101">
        <v>5.7101080443523709E-2</v>
      </c>
      <c r="D20" s="101">
        <v>5.7101080443523709E-2</v>
      </c>
      <c r="E20" s="101">
        <v>5.7101080443523709E-2</v>
      </c>
      <c r="F20" s="101">
        <v>5.7101080443523709E-2</v>
      </c>
    </row>
    <row r="21" spans="1:8" ht="15.75" customHeight="1" x14ac:dyDescent="0.25">
      <c r="B21" s="19" t="s">
        <v>88</v>
      </c>
      <c r="C21" s="101">
        <v>0.1063705702456989</v>
      </c>
      <c r="D21" s="101">
        <v>0.1063705702456989</v>
      </c>
      <c r="E21" s="101">
        <v>0.1063705702456989</v>
      </c>
      <c r="F21" s="101">
        <v>0.1063705702456989</v>
      </c>
    </row>
    <row r="22" spans="1:8" ht="15.75" customHeight="1" x14ac:dyDescent="0.25">
      <c r="B22" s="19" t="s">
        <v>89</v>
      </c>
      <c r="C22" s="101">
        <v>0.14544372475883671</v>
      </c>
      <c r="D22" s="101">
        <v>0.14544372475883671</v>
      </c>
      <c r="E22" s="101">
        <v>0.14544372475883671</v>
      </c>
      <c r="F22" s="101">
        <v>0.14544372475883671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0.103712281</v>
      </c>
    </row>
    <row r="27" spans="1:8" ht="15.75" customHeight="1" x14ac:dyDescent="0.25">
      <c r="B27" s="19" t="s">
        <v>92</v>
      </c>
      <c r="C27" s="101">
        <v>0.109547722</v>
      </c>
    </row>
    <row r="28" spans="1:8" ht="15.75" customHeight="1" x14ac:dyDescent="0.25">
      <c r="B28" s="19" t="s">
        <v>93</v>
      </c>
      <c r="C28" s="101">
        <v>6.2347139000000003E-2</v>
      </c>
    </row>
    <row r="29" spans="1:8" ht="15.75" customHeight="1" x14ac:dyDescent="0.25">
      <c r="B29" s="19" t="s">
        <v>94</v>
      </c>
      <c r="C29" s="101">
        <v>0.20200695599999999</v>
      </c>
    </row>
    <row r="30" spans="1:8" ht="15.75" customHeight="1" x14ac:dyDescent="0.25">
      <c r="B30" s="19" t="s">
        <v>95</v>
      </c>
      <c r="C30" s="101">
        <v>0.123504</v>
      </c>
    </row>
    <row r="31" spans="1:8" ht="15.75" customHeight="1" x14ac:dyDescent="0.25">
      <c r="B31" s="19" t="s">
        <v>96</v>
      </c>
      <c r="C31" s="101">
        <v>0.126081523</v>
      </c>
    </row>
    <row r="32" spans="1:8" ht="15.75" customHeight="1" x14ac:dyDescent="0.25">
      <c r="B32" s="19" t="s">
        <v>97</v>
      </c>
      <c r="C32" s="101">
        <v>1.7896931000000001E-2</v>
      </c>
    </row>
    <row r="33" spans="2:3" ht="15.75" customHeight="1" x14ac:dyDescent="0.25">
      <c r="B33" s="19" t="s">
        <v>98</v>
      </c>
      <c r="C33" s="101">
        <v>0.13369104100000001</v>
      </c>
    </row>
    <row r="34" spans="2:3" ht="15.75" customHeight="1" x14ac:dyDescent="0.25">
      <c r="B34" s="19" t="s">
        <v>99</v>
      </c>
      <c r="C34" s="101">
        <v>0.12121240799999999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0.52282654412950691</v>
      </c>
      <c r="D2" s="52">
        <f>IFERROR(1-_xlfn.NORM.DIST(_xlfn.NORM.INV(SUM(D4:D5), 0, 1) + 1, 0, 1, TRUE), "")</f>
        <v>0.52282654412950691</v>
      </c>
      <c r="E2" s="52">
        <f>IFERROR(1-_xlfn.NORM.DIST(_xlfn.NORM.INV(SUM(E4:E5), 0, 1) + 1, 0, 1, TRUE), "")</f>
        <v>0.56565441419134599</v>
      </c>
      <c r="F2" s="52">
        <f>IFERROR(1-_xlfn.NORM.DIST(_xlfn.NORM.INV(SUM(F4:F5), 0, 1) + 1, 0, 1, TRUE), "")</f>
        <v>0.41214044466243571</v>
      </c>
      <c r="G2" s="52">
        <f>IFERROR(1-_xlfn.NORM.DIST(_xlfn.NORM.INV(SUM(G4:G5), 0, 1) + 1, 0, 1, TRUE), "")</f>
        <v>0.37776664499865675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0.33197445587049312</v>
      </c>
      <c r="D3" s="52">
        <f>IFERROR(_xlfn.NORM.DIST(_xlfn.NORM.INV(SUM(D4:D5), 0, 1) + 1, 0, 1, TRUE) - SUM(D4:D5), "")</f>
        <v>0.33197445587049312</v>
      </c>
      <c r="E3" s="52">
        <f>IFERROR(_xlfn.NORM.DIST(_xlfn.NORM.INV(SUM(E4:E5), 0, 1) + 1, 0, 1, TRUE) - SUM(E4:E5), "")</f>
        <v>0.31240108580865406</v>
      </c>
      <c r="F3" s="52">
        <f>IFERROR(_xlfn.NORM.DIST(_xlfn.NORM.INV(SUM(F4:F5), 0, 1) + 1, 0, 1, TRUE) - SUM(F4:F5), "")</f>
        <v>0.36956255533756427</v>
      </c>
      <c r="G3" s="52">
        <f>IFERROR(_xlfn.NORM.DIST(_xlfn.NORM.INV(SUM(G4:G5), 0, 1) + 1, 0, 1, TRUE) - SUM(G4:G5), "")</f>
        <v>0.37671105500134328</v>
      </c>
    </row>
    <row r="4" spans="1:15" ht="15.75" customHeight="1" x14ac:dyDescent="0.25">
      <c r="B4" s="5" t="s">
        <v>104</v>
      </c>
      <c r="C4" s="45">
        <v>7.2916499999999995E-2</v>
      </c>
      <c r="D4" s="53">
        <v>7.2916499999999995E-2</v>
      </c>
      <c r="E4" s="53">
        <v>9.6801600000000002E-2</v>
      </c>
      <c r="F4" s="53">
        <v>0.13684399999999999</v>
      </c>
      <c r="G4" s="53">
        <v>0.16139909999999999</v>
      </c>
    </row>
    <row r="5" spans="1:15" ht="15.75" customHeight="1" x14ac:dyDescent="0.25">
      <c r="B5" s="5" t="s">
        <v>105</v>
      </c>
      <c r="C5" s="45">
        <v>7.22825E-2</v>
      </c>
      <c r="D5" s="53">
        <v>7.22825E-2</v>
      </c>
      <c r="E5" s="53">
        <v>2.5142899999999999E-2</v>
      </c>
      <c r="F5" s="53">
        <v>8.1453000000000012E-2</v>
      </c>
      <c r="G5" s="53">
        <v>8.4123199999999995E-2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0.66140786356424619</v>
      </c>
      <c r="D8" s="52">
        <f>IFERROR(1-_xlfn.NORM.DIST(_xlfn.NORM.INV(SUM(D10:D11), 0, 1) + 1, 0, 1, TRUE), "")</f>
        <v>0.66140786356424619</v>
      </c>
      <c r="E8" s="52">
        <f>IFERROR(1-_xlfn.NORM.DIST(_xlfn.NORM.INV(SUM(E10:E11), 0, 1) + 1, 0, 1, TRUE), "")</f>
        <v>0.65979688502469769</v>
      </c>
      <c r="F8" s="52">
        <f>IFERROR(1-_xlfn.NORM.DIST(_xlfn.NORM.INV(SUM(F10:F11), 0, 1) + 1, 0, 1, TRUE), "")</f>
        <v>0.74864000436299494</v>
      </c>
      <c r="G8" s="52">
        <f>IFERROR(1-_xlfn.NORM.DIST(_xlfn.NORM.INV(SUM(G10:G11), 0, 1) + 1, 0, 1, TRUE), "")</f>
        <v>0.84624001077781252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0.26024953643575388</v>
      </c>
      <c r="D9" s="52">
        <f>IFERROR(_xlfn.NORM.DIST(_xlfn.NORM.INV(SUM(D10:D11), 0, 1) + 1, 0, 1, TRUE) - SUM(D10:D11), "")</f>
        <v>0.26024953643575388</v>
      </c>
      <c r="E9" s="52">
        <f>IFERROR(_xlfn.NORM.DIST(_xlfn.NORM.INV(SUM(E10:E11), 0, 1) + 1, 0, 1, TRUE) - SUM(E10:E11), "")</f>
        <v>0.2612147149753023</v>
      </c>
      <c r="F9" s="52">
        <f>IFERROR(_xlfn.NORM.DIST(_xlfn.NORM.INV(SUM(F10:F11), 0, 1) + 1, 0, 1, TRUE) - SUM(F10:F11), "")</f>
        <v>0.20392169563700507</v>
      </c>
      <c r="G9" s="52">
        <f>IFERROR(_xlfn.NORM.DIST(_xlfn.NORM.INV(SUM(G10:G11), 0, 1) + 1, 0, 1, TRUE) - SUM(G10:G11), "")</f>
        <v>0.13209108922218746</v>
      </c>
    </row>
    <row r="10" spans="1:15" ht="15.75" customHeight="1" x14ac:dyDescent="0.25">
      <c r="B10" s="5" t="s">
        <v>109</v>
      </c>
      <c r="C10" s="45">
        <v>5.5282699999999997E-2</v>
      </c>
      <c r="D10" s="53">
        <v>5.5282699999999997E-2</v>
      </c>
      <c r="E10" s="53">
        <v>6.7739999999999995E-2</v>
      </c>
      <c r="F10" s="53">
        <v>3.5547700000000002E-2</v>
      </c>
      <c r="G10" s="53">
        <v>1.7248099999999999E-2</v>
      </c>
    </row>
    <row r="11" spans="1:15" ht="15.75" customHeight="1" x14ac:dyDescent="0.25">
      <c r="B11" s="5" t="s">
        <v>110</v>
      </c>
      <c r="C11" s="45">
        <v>2.3059900000000001E-2</v>
      </c>
      <c r="D11" s="53">
        <v>2.3059900000000001E-2</v>
      </c>
      <c r="E11" s="53">
        <v>1.12484E-2</v>
      </c>
      <c r="F11" s="53">
        <v>1.1890599999999999E-2</v>
      </c>
      <c r="G11" s="53">
        <v>4.4207999999999999E-3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0.83306406925000009</v>
      </c>
      <c r="D14" s="54">
        <v>0.81199289555200016</v>
      </c>
      <c r="E14" s="54">
        <v>0.81199289555200016</v>
      </c>
      <c r="F14" s="54">
        <v>0.67868807884899995</v>
      </c>
      <c r="G14" s="54">
        <v>0.67868807884899995</v>
      </c>
      <c r="H14" s="45">
        <v>0.504</v>
      </c>
      <c r="I14" s="55">
        <v>0.504</v>
      </c>
      <c r="J14" s="55">
        <v>0.504</v>
      </c>
      <c r="K14" s="55">
        <v>0.504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0.37969977293124979</v>
      </c>
      <c r="D15" s="52">
        <f t="shared" si="0"/>
        <v>0.37009580588495949</v>
      </c>
      <c r="E15" s="52">
        <f t="shared" si="0"/>
        <v>0.37009580588495949</v>
      </c>
      <c r="F15" s="52">
        <f t="shared" si="0"/>
        <v>0.30933720339434911</v>
      </c>
      <c r="G15" s="52">
        <f t="shared" si="0"/>
        <v>0.30933720339434911</v>
      </c>
      <c r="H15" s="52">
        <f t="shared" si="0"/>
        <v>0.229716648</v>
      </c>
      <c r="I15" s="52">
        <f t="shared" si="0"/>
        <v>0.229716648</v>
      </c>
      <c r="J15" s="52">
        <f t="shared" si="0"/>
        <v>0.229716648</v>
      </c>
      <c r="K15" s="52">
        <f t="shared" si="0"/>
        <v>0.229716648</v>
      </c>
      <c r="L15" s="52">
        <f t="shared" si="0"/>
        <v>0.20966202</v>
      </c>
      <c r="M15" s="52">
        <f t="shared" si="0"/>
        <v>0.20966202</v>
      </c>
      <c r="N15" s="52">
        <f t="shared" si="0"/>
        <v>0.20966202</v>
      </c>
      <c r="O15" s="52">
        <f t="shared" si="0"/>
        <v>0.20966202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0.64467859999999999</v>
      </c>
      <c r="D2" s="53">
        <v>0.30287550000000002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0.13002649999999999</v>
      </c>
      <c r="D3" s="53">
        <v>0.11225300000000001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0.19975219999999999</v>
      </c>
      <c r="D4" s="53">
        <v>0.53624519999999998</v>
      </c>
      <c r="E4" s="53">
        <v>0.91649709999999995</v>
      </c>
      <c r="F4" s="53">
        <v>0.52460410000000002</v>
      </c>
      <c r="G4" s="53">
        <v>0</v>
      </c>
    </row>
    <row r="5" spans="1:7" x14ac:dyDescent="0.25">
      <c r="B5" s="3" t="s">
        <v>122</v>
      </c>
      <c r="C5" s="52">
        <v>2.5542800000000001E-2</v>
      </c>
      <c r="D5" s="52">
        <v>4.86264E-2</v>
      </c>
      <c r="E5" s="52">
        <f>1-SUM(E2:E4)</f>
        <v>8.3502900000000047E-2</v>
      </c>
      <c r="F5" s="52">
        <f>1-SUM(F2:F4)</f>
        <v>0.47539589999999998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8069B5-F230-4F00-9900-68896D8506D1}"/>
</file>

<file path=customXml/itemProps2.xml><?xml version="1.0" encoding="utf-8"?>
<ds:datastoreItem xmlns:ds="http://schemas.openxmlformats.org/officeDocument/2006/customXml" ds:itemID="{3C28AE50-3B52-4EDD-8743-EDE80DA6E9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2024-03-26T04:24:37Z</dcterms:modified>
</cp:coreProperties>
</file>