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2.xml" ContentType="application/vnd.openxmlformats-officedocument.spreadsheetml.comments+xml"/>
  <Override PartName="/xl/comments8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4.xml" ContentType="application/vnd.openxmlformats-officedocument.spreadsheetml.comments+xml"/>
  <Override PartName="/xl/comments7.xml" ContentType="application/vnd.openxmlformats-officedocument.spreadsheetml.comments+xml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11.xml" ContentType="application/vnd.openxmlformats-officedocument.spreadsheetml.comments+xml"/>
  <Override PartName="/xl/comments16.xml" ContentType="application/vnd.openxmlformats-officedocument.spreadsheetml.comments+xml"/>
  <Override PartName="/xl/comments9.xml" ContentType="application/vnd.openxmlformats-officedocument.spreadsheetml.comments+xml"/>
  <Override PartName="/xl/comments17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4449B8F4-176B-4E24-A026-FB2055037CD3}" xr6:coauthVersionLast="47" xr6:coauthVersionMax="47" xr10:uidLastSave="{00000000-0000-0000-0000-000000000000}"/>
  <bookViews>
    <workbookView xWindow="0" yWindow="3670" windowWidth="19200" windowHeight="6530" tabRatio="961" firstSheet="8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F152" i="27"/>
  <c r="D152" i="27"/>
  <c r="H136" i="27"/>
  <c r="G136" i="27"/>
  <c r="F136" i="27"/>
  <c r="E136" i="27"/>
  <c r="H135" i="27"/>
  <c r="G135" i="27"/>
  <c r="F135" i="27"/>
  <c r="E135" i="27"/>
  <c r="D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F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H112" i="27"/>
  <c r="E112" i="27"/>
  <c r="D112" i="27"/>
  <c r="H97" i="27"/>
  <c r="H152" i="27" s="1"/>
  <c r="G97" i="27"/>
  <c r="G152" i="27" s="1"/>
  <c r="F97" i="27"/>
  <c r="E97" i="27"/>
  <c r="E152" i="27" s="1"/>
  <c r="D97" i="27"/>
  <c r="H81" i="27"/>
  <c r="G81" i="27"/>
  <c r="F81" i="27"/>
  <c r="E81" i="27"/>
  <c r="H80" i="27"/>
  <c r="G80" i="27"/>
  <c r="F80" i="27"/>
  <c r="E80" i="27"/>
  <c r="D80" i="27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G129" i="27" s="1"/>
  <c r="F74" i="27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D115" i="20"/>
  <c r="H114" i="20"/>
  <c r="G114" i="20"/>
  <c r="F114" i="20"/>
  <c r="D114" i="20"/>
  <c r="H113" i="20"/>
  <c r="G113" i="20"/>
  <c r="F113" i="20"/>
  <c r="E113" i="20"/>
  <c r="D113" i="20"/>
  <c r="H112" i="20"/>
  <c r="G112" i="20"/>
  <c r="F112" i="20"/>
  <c r="E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D62" i="20"/>
  <c r="H61" i="20"/>
  <c r="G61" i="20"/>
  <c r="F61" i="20"/>
  <c r="D61" i="20"/>
  <c r="H60" i="20"/>
  <c r="G60" i="20"/>
  <c r="F60" i="20"/>
  <c r="E60" i="20"/>
  <c r="D60" i="20"/>
  <c r="H59" i="20"/>
  <c r="G59" i="20"/>
  <c r="F59" i="20"/>
  <c r="E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A39" i="2"/>
  <c r="H38" i="2"/>
  <c r="G38" i="2"/>
  <c r="I38" i="2" s="1"/>
  <c r="A37" i="2"/>
  <c r="A36" i="2"/>
  <c r="A35" i="2"/>
  <c r="A34" i="2"/>
  <c r="A33" i="2"/>
  <c r="A32" i="2"/>
  <c r="A31" i="2"/>
  <c r="A29" i="2"/>
  <c r="A28" i="2"/>
  <c r="A27" i="2"/>
  <c r="A26" i="2"/>
  <c r="A25" i="2"/>
  <c r="A24" i="2"/>
  <c r="A23" i="2"/>
  <c r="A21" i="2"/>
  <c r="A20" i="2"/>
  <c r="A19" i="2"/>
  <c r="A18" i="2"/>
  <c r="A17" i="2"/>
  <c r="A16" i="2"/>
  <c r="A15" i="2"/>
  <c r="I13" i="2"/>
  <c r="H13" i="2"/>
  <c r="G13" i="2"/>
  <c r="H12" i="2"/>
  <c r="G12" i="2"/>
  <c r="I12" i="2" s="1"/>
  <c r="I11" i="2"/>
  <c r="H11" i="2"/>
  <c r="G11" i="2"/>
  <c r="H10" i="2"/>
  <c r="G10" i="2"/>
  <c r="I10" i="2" s="1"/>
  <c r="I9" i="2"/>
  <c r="H9" i="2"/>
  <c r="G9" i="2"/>
  <c r="H8" i="2"/>
  <c r="G8" i="2"/>
  <c r="I8" i="2" s="1"/>
  <c r="I7" i="2"/>
  <c r="H7" i="2"/>
  <c r="G7" i="2"/>
  <c r="H6" i="2"/>
  <c r="G6" i="2"/>
  <c r="I6" i="2" s="1"/>
  <c r="I5" i="2"/>
  <c r="H5" i="2"/>
  <c r="G5" i="2"/>
  <c r="H4" i="2"/>
  <c r="G4" i="2"/>
  <c r="I4" i="2" s="1"/>
  <c r="I3" i="2"/>
  <c r="H3" i="2"/>
  <c r="G3" i="2"/>
  <c r="A3" i="2"/>
  <c r="H2" i="2"/>
  <c r="G2" i="2"/>
  <c r="I2" i="2" s="1"/>
  <c r="A2" i="2"/>
  <c r="A40" i="2" s="1"/>
  <c r="C33" i="1"/>
  <c r="C20" i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/>
  <c r="A22" i="2"/>
  <c r="A30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<sst xmlns="http://schemas.openxmlformats.org/spreadsheetml/2006/main" count="2092" uniqueCount="341">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</sst>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7" sqref="C7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2024</v>
      </c>
    </row>
    <row r="4" spans="1:3" ht="15.9" customHeight="1" x14ac:dyDescent="0.3">
      <c r="A4" s="1"/>
      <c r="B4" s="5" t="s">
        <v>5</v>
      </c>
      <c r="C4" s="42">
        <v>2035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2530276.859375</v>
      </c>
    </row>
    <row r="8" spans="1:3" ht="15" customHeight="1" x14ac:dyDescent="0.25">
      <c r="B8" s="5" t="s">
        <v>8</v>
      </c>
      <c r="C8" s="44">
        <v>0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0.77999130249023396</v>
      </c>
    </row>
    <row r="11" spans="1:3" ht="15" customHeight="1" x14ac:dyDescent="0.25">
      <c r="B11" s="5" t="s">
        <v>11</v>
      </c>
      <c r="C11" s="45">
        <v>0.62</v>
      </c>
    </row>
    <row r="12" spans="1:3" ht="15" customHeight="1" x14ac:dyDescent="0.25">
      <c r="B12" s="5" t="s">
        <v>12</v>
      </c>
      <c r="C12" s="45">
        <v>0.72</v>
      </c>
    </row>
    <row r="13" spans="1:3" ht="15" customHeight="1" x14ac:dyDescent="0.25">
      <c r="B13" s="5" t="s">
        <v>13</v>
      </c>
      <c r="C13" s="45">
        <v>0.10299999999999999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3.3099999999999997E-2</v>
      </c>
    </row>
    <row r="24" spans="1:3" ht="15" customHeight="1" x14ac:dyDescent="0.25">
      <c r="B24" s="15" t="s">
        <v>22</v>
      </c>
      <c r="C24" s="45">
        <v>0.41270000000000001</v>
      </c>
    </row>
    <row r="25" spans="1:3" ht="15" customHeight="1" x14ac:dyDescent="0.25">
      <c r="B25" s="15" t="s">
        <v>23</v>
      </c>
      <c r="C25" s="45">
        <v>0.50419999999999998</v>
      </c>
    </row>
    <row r="26" spans="1:3" ht="15" customHeight="1" x14ac:dyDescent="0.25">
      <c r="B26" s="15" t="s">
        <v>24</v>
      </c>
      <c r="C26" s="45">
        <v>0.05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0.29181610000000002</v>
      </c>
    </row>
    <row r="30" spans="1:3" ht="14.25" customHeight="1" x14ac:dyDescent="0.25">
      <c r="B30" s="25" t="s">
        <v>27</v>
      </c>
      <c r="C30" s="99">
        <v>5.8372300000000002E-2</v>
      </c>
    </row>
    <row r="31" spans="1:3" ht="14.25" customHeight="1" x14ac:dyDescent="0.25">
      <c r="B31" s="25" t="s">
        <v>28</v>
      </c>
      <c r="C31" s="99">
        <v>0.11982329999999999</v>
      </c>
    </row>
    <row r="32" spans="1:3" ht="14.25" customHeight="1" x14ac:dyDescent="0.25">
      <c r="B32" s="25" t="s">
        <v>29</v>
      </c>
      <c r="C32" s="99">
        <v>0.52998829999999997</v>
      </c>
    </row>
    <row r="33" spans="1:5" ht="13" customHeight="1" x14ac:dyDescent="0.25">
      <c r="B33" s="27" t="s">
        <v>30</v>
      </c>
      <c r="C33" s="48">
        <f>SUM(C29:C32)</f>
        <v>1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4.2106300000000001</v>
      </c>
    </row>
    <row r="38" spans="1:5" ht="15" customHeight="1" x14ac:dyDescent="0.25">
      <c r="B38" s="11" t="s">
        <v>34</v>
      </c>
      <c r="C38" s="43">
        <v>6.4629700000000003</v>
      </c>
      <c r="D38" s="12"/>
      <c r="E38" s="13"/>
    </row>
    <row r="39" spans="1:5" ht="15" customHeight="1" x14ac:dyDescent="0.25">
      <c r="B39" s="11" t="s">
        <v>35</v>
      </c>
      <c r="C39" s="43">
        <v>7.5561299999999996</v>
      </c>
      <c r="D39" s="12"/>
      <c r="E39" s="12"/>
    </row>
    <row r="40" spans="1:5" ht="15" customHeight="1" x14ac:dyDescent="0.25">
      <c r="B40" s="11" t="s">
        <v>36</v>
      </c>
      <c r="C40" s="100">
        <v>0.21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5.0392599999999996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6.3741000000000006E-3</v>
      </c>
      <c r="D45" s="12"/>
    </row>
    <row r="46" spans="1:5" ht="15.75" customHeight="1" x14ac:dyDescent="0.25">
      <c r="B46" s="11" t="s">
        <v>41</v>
      </c>
      <c r="C46" s="45">
        <v>6.565E-2</v>
      </c>
      <c r="D46" s="12"/>
    </row>
    <row r="47" spans="1:5" ht="15.75" customHeight="1" x14ac:dyDescent="0.25">
      <c r="B47" s="11" t="s">
        <v>42</v>
      </c>
      <c r="C47" s="45">
        <v>0.1470931</v>
      </c>
      <c r="D47" s="12"/>
      <c r="E47" s="13"/>
    </row>
    <row r="48" spans="1:5" ht="15" customHeight="1" x14ac:dyDescent="0.25">
      <c r="B48" s="11" t="s">
        <v>43</v>
      </c>
      <c r="C48" s="46">
        <v>0.78088279999999999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2.2000000000000002</v>
      </c>
      <c r="D51" s="12"/>
    </row>
    <row r="52" spans="1:4" ht="15" customHeight="1" x14ac:dyDescent="0.25">
      <c r="B52" s="11" t="s">
        <v>46</v>
      </c>
      <c r="C52" s="100">
        <v>2.2000000000000002</v>
      </c>
    </row>
    <row r="53" spans="1:4" ht="15.75" customHeight="1" x14ac:dyDescent="0.25">
      <c r="B53" s="11" t="s">
        <v>47</v>
      </c>
      <c r="C53" s="100">
        <v>2.2000000000000002</v>
      </c>
    </row>
    <row r="54" spans="1:4" ht="15.75" customHeight="1" x14ac:dyDescent="0.25">
      <c r="B54" s="11" t="s">
        <v>48</v>
      </c>
      <c r="C54" s="100">
        <v>2.2000000000000002</v>
      </c>
    </row>
    <row r="55" spans="1:4" ht="15.75" customHeight="1" x14ac:dyDescent="0.25">
      <c r="B55" s="11" t="s">
        <v>49</v>
      </c>
      <c r="C55" s="100">
        <v>2.2000000000000002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2.1363636363636359E-2</v>
      </c>
    </row>
    <row r="59" spans="1:4" ht="15.75" customHeight="1" x14ac:dyDescent="0.25">
      <c r="B59" s="11" t="s">
        <v>52</v>
      </c>
      <c r="C59" s="45">
        <v>0.59568500000000002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0.11349301000000001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1" sqref="B11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2024</v>
      </c>
      <c r="B2" s="49">
        <v>545735.00100000016</v>
      </c>
      <c r="C2" s="49">
        <v>1230000</v>
      </c>
      <c r="D2" s="49">
        <v>2792000</v>
      </c>
      <c r="E2" s="49">
        <v>2965000</v>
      </c>
      <c r="F2" s="49">
        <v>2178000</v>
      </c>
      <c r="G2" s="17">
        <f t="shared" ref="G2:G13" si="0">C2+D2+E2+F2</f>
        <v>9165000</v>
      </c>
      <c r="H2" s="17">
        <f t="shared" ref="H2:H13" si="1">(B2 + stillbirth*B2/(1000-stillbirth))/(1-abortion)</f>
        <v>623294.35252618394</v>
      </c>
      <c r="I2" s="17">
        <f t="shared" ref="I2:I13" si="2">G2-H2</f>
        <v>8541705.6474738158</v>
      </c>
    </row>
    <row r="3" spans="1:9" ht="15.75" customHeight="1" x14ac:dyDescent="0.25">
      <c r="A3" s="5">
        <f t="shared" ref="A3:A40" si="3">IF($A$2+ROW(A3)-2&lt;=end_year,A2+1,"")</f>
        <v>2025</v>
      </c>
      <c r="B3" s="49">
        <v>544381.19999999995</v>
      </c>
      <c r="C3" s="50">
        <v>1224000</v>
      </c>
      <c r="D3" s="50">
        <v>2748000</v>
      </c>
      <c r="E3" s="50">
        <v>2997000</v>
      </c>
      <c r="F3" s="50">
        <v>2263000</v>
      </c>
      <c r="G3" s="17">
        <f t="shared" si="0"/>
        <v>9232000</v>
      </c>
      <c r="H3" s="17">
        <f t="shared" si="1"/>
        <v>621748.15058531845</v>
      </c>
      <c r="I3" s="17">
        <f t="shared" si="2"/>
        <v>8610251.849414682</v>
      </c>
    </row>
    <row r="4" spans="1:9" ht="15.75" customHeight="1" x14ac:dyDescent="0.25">
      <c r="A4" s="5">
        <f t="shared" si="3"/>
        <v>2026</v>
      </c>
      <c r="B4" s="49">
        <v>539632.19200000004</v>
      </c>
      <c r="C4" s="50">
        <v>1225000</v>
      </c>
      <c r="D4" s="50">
        <v>2706000</v>
      </c>
      <c r="E4" s="50">
        <v>3018000</v>
      </c>
      <c r="F4" s="50">
        <v>2354000</v>
      </c>
      <c r="G4" s="17">
        <f t="shared" si="0"/>
        <v>9303000</v>
      </c>
      <c r="H4" s="17">
        <f t="shared" si="1"/>
        <v>616324.21797869133</v>
      </c>
      <c r="I4" s="17">
        <f t="shared" si="2"/>
        <v>8686675.7820213083</v>
      </c>
    </row>
    <row r="5" spans="1:9" ht="15.75" customHeight="1" x14ac:dyDescent="0.25">
      <c r="A5" s="5">
        <f t="shared" si="3"/>
        <v>2027</v>
      </c>
      <c r="B5" s="49">
        <v>534490.88</v>
      </c>
      <c r="C5" s="50">
        <v>1230000</v>
      </c>
      <c r="D5" s="50">
        <v>2666000</v>
      </c>
      <c r="E5" s="50">
        <v>3027000</v>
      </c>
      <c r="F5" s="50">
        <v>2450000</v>
      </c>
      <c r="G5" s="17">
        <f t="shared" si="0"/>
        <v>9373000</v>
      </c>
      <c r="H5" s="17">
        <f t="shared" si="1"/>
        <v>610452.22749191092</v>
      </c>
      <c r="I5" s="17">
        <f t="shared" si="2"/>
        <v>8762547.7725080885</v>
      </c>
    </row>
    <row r="6" spans="1:9" ht="15.75" customHeight="1" x14ac:dyDescent="0.25">
      <c r="A6" s="5">
        <f t="shared" si="3"/>
        <v>2028</v>
      </c>
      <c r="B6" s="49">
        <v>528966.50400000007</v>
      </c>
      <c r="C6" s="50">
        <v>1238000</v>
      </c>
      <c r="D6" s="50">
        <v>2629000</v>
      </c>
      <c r="E6" s="50">
        <v>3024000</v>
      </c>
      <c r="F6" s="50">
        <v>2549000</v>
      </c>
      <c r="G6" s="17">
        <f t="shared" si="0"/>
        <v>9440000</v>
      </c>
      <c r="H6" s="17">
        <f t="shared" si="1"/>
        <v>604142.73230519635</v>
      </c>
      <c r="I6" s="17">
        <f t="shared" si="2"/>
        <v>8835857.267694803</v>
      </c>
    </row>
    <row r="7" spans="1:9" ht="15.75" customHeight="1" x14ac:dyDescent="0.25">
      <c r="A7" s="5">
        <f t="shared" si="3"/>
        <v>2029</v>
      </c>
      <c r="B7" s="49">
        <v>523053.96000000008</v>
      </c>
      <c r="C7" s="50">
        <v>1247000</v>
      </c>
      <c r="D7" s="50">
        <v>2597000</v>
      </c>
      <c r="E7" s="50">
        <v>3013000</v>
      </c>
      <c r="F7" s="50">
        <v>2643000</v>
      </c>
      <c r="G7" s="17">
        <f t="shared" si="0"/>
        <v>9500000</v>
      </c>
      <c r="H7" s="17">
        <f t="shared" si="1"/>
        <v>597389.90304280759</v>
      </c>
      <c r="I7" s="17">
        <f t="shared" si="2"/>
        <v>8902610.0969571918</v>
      </c>
    </row>
    <row r="8" spans="1:9" ht="15.75" customHeight="1" x14ac:dyDescent="0.25">
      <c r="A8" s="5">
        <f t="shared" si="3"/>
        <v>2030</v>
      </c>
      <c r="B8" s="49">
        <v>516735.34</v>
      </c>
      <c r="C8" s="50">
        <v>1257000</v>
      </c>
      <c r="D8" s="50">
        <v>2571000</v>
      </c>
      <c r="E8" s="50">
        <v>2993000</v>
      </c>
      <c r="F8" s="50">
        <v>2727000</v>
      </c>
      <c r="G8" s="17">
        <f t="shared" si="0"/>
        <v>9548000</v>
      </c>
      <c r="H8" s="17">
        <f t="shared" si="1"/>
        <v>590173.2866364154</v>
      </c>
      <c r="I8" s="17">
        <f t="shared" si="2"/>
        <v>8957826.7133635841</v>
      </c>
    </row>
    <row r="9" spans="1:9" ht="15.75" customHeight="1" x14ac:dyDescent="0.25">
      <c r="A9" s="5">
        <f t="shared" si="3"/>
        <v>2031</v>
      </c>
      <c r="B9" s="49">
        <v>512592.5312857143</v>
      </c>
      <c r="C9" s="50">
        <v>1260857.142857143</v>
      </c>
      <c r="D9" s="50">
        <v>2539428.5714285709</v>
      </c>
      <c r="E9" s="50">
        <v>2997000</v>
      </c>
      <c r="F9" s="50">
        <v>2805428.5714285709</v>
      </c>
      <c r="G9" s="17">
        <f t="shared" si="0"/>
        <v>9602714.2857142836</v>
      </c>
      <c r="H9" s="17">
        <f t="shared" si="1"/>
        <v>585441.70579501998</v>
      </c>
      <c r="I9" s="17">
        <f t="shared" si="2"/>
        <v>9017272.5799192637</v>
      </c>
    </row>
    <row r="10" spans="1:9" ht="15.75" customHeight="1" x14ac:dyDescent="0.25">
      <c r="A10" s="5">
        <f t="shared" si="3"/>
        <v>2032</v>
      </c>
      <c r="B10" s="49">
        <v>508051.29289795918</v>
      </c>
      <c r="C10" s="50">
        <v>1266122.448979592</v>
      </c>
      <c r="D10" s="50">
        <v>2509632.6530612251</v>
      </c>
      <c r="E10" s="50">
        <v>2997000</v>
      </c>
      <c r="F10" s="50">
        <v>2882918.3673469392</v>
      </c>
      <c r="G10" s="17">
        <f t="shared" si="0"/>
        <v>9655673.4693877567</v>
      </c>
      <c r="H10" s="17">
        <f t="shared" si="1"/>
        <v>580255.07082497724</v>
      </c>
      <c r="I10" s="17">
        <f t="shared" si="2"/>
        <v>9075418.3985627797</v>
      </c>
    </row>
    <row r="11" spans="1:9" ht="15.75" customHeight="1" x14ac:dyDescent="0.25">
      <c r="A11" s="5">
        <f t="shared" si="3"/>
        <v>2033</v>
      </c>
      <c r="B11" s="49">
        <v>503539.73588338192</v>
      </c>
      <c r="C11" s="50">
        <v>1271997.084548105</v>
      </c>
      <c r="D11" s="50">
        <v>2481580.174927114</v>
      </c>
      <c r="E11" s="50">
        <v>2994000</v>
      </c>
      <c r="F11" s="50">
        <v>2958478.134110787</v>
      </c>
      <c r="G11" s="17">
        <f t="shared" si="0"/>
        <v>9706055.393586006</v>
      </c>
      <c r="H11" s="17">
        <f t="shared" si="1"/>
        <v>575102.33551730379</v>
      </c>
      <c r="I11" s="17">
        <f t="shared" si="2"/>
        <v>9130953.058068702</v>
      </c>
    </row>
    <row r="12" spans="1:9" ht="15.75" customHeight="1" x14ac:dyDescent="0.25">
      <c r="A12" s="5">
        <f t="shared" si="3"/>
        <v>2034</v>
      </c>
      <c r="B12" s="49">
        <v>499118.14386672218</v>
      </c>
      <c r="C12" s="50">
        <v>1277996.668054977</v>
      </c>
      <c r="D12" s="50">
        <v>2455234.4856309881</v>
      </c>
      <c r="E12" s="50">
        <v>2989285.7142857141</v>
      </c>
      <c r="F12" s="50">
        <v>3031117.8675551852</v>
      </c>
      <c r="G12" s="17">
        <f t="shared" si="0"/>
        <v>9753634.7355268635</v>
      </c>
      <c r="H12" s="17">
        <f t="shared" si="1"/>
        <v>570052.35094950278</v>
      </c>
      <c r="I12" s="17">
        <f t="shared" si="2"/>
        <v>9183582.38457736</v>
      </c>
    </row>
    <row r="13" spans="1:9" ht="15.75" customHeight="1" x14ac:dyDescent="0.25">
      <c r="A13" s="5">
        <f t="shared" si="3"/>
        <v>2035</v>
      </c>
      <c r="B13" s="49">
        <v>494854.09241911111</v>
      </c>
      <c r="C13" s="50">
        <v>1283710.4777771169</v>
      </c>
      <c r="D13" s="50">
        <v>2430410.840721129</v>
      </c>
      <c r="E13" s="50">
        <v>2984326.5306122452</v>
      </c>
      <c r="F13" s="50">
        <v>3099991.8486344968</v>
      </c>
      <c r="G13" s="17">
        <f t="shared" si="0"/>
        <v>9798439.6977449879</v>
      </c>
      <c r="H13" s="17">
        <f t="shared" si="1"/>
        <v>565182.2964701181</v>
      </c>
      <c r="I13" s="17">
        <f t="shared" si="2"/>
        <v>9233257.4012748692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wKxEoWv7nnHIidhOP9O7yQQ4/tikEcXr6gTA2GrtyLYFAb1ix6Ln3irIlHONZ8I1dXNIh1a5t0Hcu3pPb5ZHrw==" saltValue="PZemEz5qyqkMYDJdSEC/K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(2024)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0</v>
      </c>
    </row>
    <row r="4" spans="1:8" ht="15.75" customHeight="1" x14ac:dyDescent="0.25">
      <c r="B4" s="19" t="s">
        <v>69</v>
      </c>
      <c r="C4" s="101">
        <v>4.99320049932006E-2</v>
      </c>
    </row>
    <row r="5" spans="1:8" ht="15.75" customHeight="1" x14ac:dyDescent="0.25">
      <c r="B5" s="19" t="s">
        <v>70</v>
      </c>
      <c r="C5" s="101">
        <v>1.027610102761011E-2</v>
      </c>
    </row>
    <row r="6" spans="1:8" ht="15.75" customHeight="1" x14ac:dyDescent="0.25">
      <c r="B6" s="19" t="s">
        <v>71</v>
      </c>
      <c r="C6" s="101">
        <v>0.1337043133704314</v>
      </c>
    </row>
    <row r="7" spans="1:8" ht="15.75" customHeight="1" x14ac:dyDescent="0.25">
      <c r="B7" s="19" t="s">
        <v>72</v>
      </c>
      <c r="C7" s="101">
        <v>0.43351454335145478</v>
      </c>
    </row>
    <row r="8" spans="1:8" ht="15.75" customHeight="1" x14ac:dyDescent="0.25">
      <c r="B8" s="19" t="s">
        <v>73</v>
      </c>
      <c r="C8" s="101">
        <v>0</v>
      </c>
    </row>
    <row r="9" spans="1:8" ht="15.75" customHeight="1" x14ac:dyDescent="0.25">
      <c r="B9" s="19" t="s">
        <v>74</v>
      </c>
      <c r="C9" s="101">
        <v>0.26159222615922201</v>
      </c>
    </row>
    <row r="10" spans="1:8" ht="15.75" customHeight="1" x14ac:dyDescent="0.25">
      <c r="B10" s="19" t="s">
        <v>75</v>
      </c>
      <c r="C10" s="101">
        <v>0.11098081109808119</v>
      </c>
    </row>
    <row r="11" spans="1:8" ht="15.75" customHeight="1" x14ac:dyDescent="0.25">
      <c r="B11" s="27" t="s">
        <v>30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8.995098065672287E-2</v>
      </c>
      <c r="D14" s="55">
        <v>8.995098065672287E-2</v>
      </c>
      <c r="E14" s="55">
        <v>8.995098065672287E-2</v>
      </c>
      <c r="F14" s="55">
        <v>8.995098065672287E-2</v>
      </c>
    </row>
    <row r="15" spans="1:8" ht="15.75" customHeight="1" x14ac:dyDescent="0.25">
      <c r="B15" s="19" t="s">
        <v>82</v>
      </c>
      <c r="C15" s="101">
        <v>0.20077711774403409</v>
      </c>
      <c r="D15" s="101">
        <v>0.20077711774403409</v>
      </c>
      <c r="E15" s="101">
        <v>0.20077711774403409</v>
      </c>
      <c r="F15" s="101">
        <v>0.20077711774403409</v>
      </c>
    </row>
    <row r="16" spans="1:8" ht="15.75" customHeight="1" x14ac:dyDescent="0.25">
      <c r="B16" s="19" t="s">
        <v>83</v>
      </c>
      <c r="C16" s="101">
        <v>2.5934051996959591E-2</v>
      </c>
      <c r="D16" s="101">
        <v>2.5934051996959591E-2</v>
      </c>
      <c r="E16" s="101">
        <v>2.5934051996959591E-2</v>
      </c>
      <c r="F16" s="101">
        <v>2.5934051996959591E-2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1.937420903731499E-3</v>
      </c>
      <c r="D18" s="101">
        <v>1.937420903731499E-3</v>
      </c>
      <c r="E18" s="101">
        <v>1.937420903731499E-3</v>
      </c>
      <c r="F18" s="101">
        <v>1.937420903731499E-3</v>
      </c>
    </row>
    <row r="19" spans="1:8" ht="15.75" customHeight="1" x14ac:dyDescent="0.25">
      <c r="B19" s="19" t="s">
        <v>86</v>
      </c>
      <c r="C19" s="101">
        <v>8.1870754878343929E-2</v>
      </c>
      <c r="D19" s="101">
        <v>8.1870754878343929E-2</v>
      </c>
      <c r="E19" s="101">
        <v>8.1870754878343929E-2</v>
      </c>
      <c r="F19" s="101">
        <v>8.1870754878343929E-2</v>
      </c>
    </row>
    <row r="20" spans="1:8" ht="15.75" customHeight="1" x14ac:dyDescent="0.25">
      <c r="B20" s="19" t="s">
        <v>87</v>
      </c>
      <c r="C20" s="101">
        <v>2.5916379957937968E-2</v>
      </c>
      <c r="D20" s="101">
        <v>2.5916379957937968E-2</v>
      </c>
      <c r="E20" s="101">
        <v>2.5916379957937968E-2</v>
      </c>
      <c r="F20" s="101">
        <v>2.5916379957937968E-2</v>
      </c>
    </row>
    <row r="21" spans="1:8" ht="15.75" customHeight="1" x14ac:dyDescent="0.25">
      <c r="B21" s="19" t="s">
        <v>88</v>
      </c>
      <c r="C21" s="101">
        <v>0.56612183919474668</v>
      </c>
      <c r="D21" s="101">
        <v>0.56612183919474668</v>
      </c>
      <c r="E21" s="101">
        <v>0.56612183919474668</v>
      </c>
      <c r="F21" s="101">
        <v>0.56612183919474668</v>
      </c>
    </row>
    <row r="22" spans="1:8" ht="15.75" customHeight="1" x14ac:dyDescent="0.25">
      <c r="B22" s="19" t="s">
        <v>89</v>
      </c>
      <c r="C22" s="101">
        <v>7.4914546675234487E-3</v>
      </c>
      <c r="D22" s="101">
        <v>7.4914546675234487E-3</v>
      </c>
      <c r="E22" s="101">
        <v>7.4914546675234487E-3</v>
      </c>
      <c r="F22" s="101">
        <v>7.4914546675234487E-3</v>
      </c>
    </row>
    <row r="23" spans="1:8" ht="15.75" customHeight="1" x14ac:dyDescent="0.25">
      <c r="B23" s="27" t="s">
        <v>30</v>
      </c>
      <c r="C23" s="48">
        <f>SUM(C14:C22)</f>
        <v>1.0000000000000002</v>
      </c>
      <c r="D23" s="48">
        <f>SUM(D14:D22)</f>
        <v>1.0000000000000002</v>
      </c>
      <c r="E23" s="48">
        <f>SUM(E14:E22)</f>
        <v>1.0000000000000002</v>
      </c>
      <c r="F23" s="48">
        <f>SUM(F14:F22)</f>
        <v>1.0000000000000002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2.386251E-2</v>
      </c>
    </row>
    <row r="27" spans="1:8" ht="15.75" customHeight="1" x14ac:dyDescent="0.25">
      <c r="B27" s="19" t="s">
        <v>92</v>
      </c>
      <c r="C27" s="101">
        <v>5.5546280000000007E-3</v>
      </c>
    </row>
    <row r="28" spans="1:8" ht="15.75" customHeight="1" x14ac:dyDescent="0.25">
      <c r="B28" s="19" t="s">
        <v>93</v>
      </c>
      <c r="C28" s="101">
        <v>0.152936821</v>
      </c>
    </row>
    <row r="29" spans="1:8" ht="15.75" customHeight="1" x14ac:dyDescent="0.25">
      <c r="B29" s="19" t="s">
        <v>94</v>
      </c>
      <c r="C29" s="101">
        <v>0.11069707199999999</v>
      </c>
    </row>
    <row r="30" spans="1:8" ht="15.75" customHeight="1" x14ac:dyDescent="0.25">
      <c r="B30" s="19" t="s">
        <v>95</v>
      </c>
      <c r="C30" s="101">
        <v>5.7770492999999999E-2</v>
      </c>
    </row>
    <row r="31" spans="1:8" ht="15.75" customHeight="1" x14ac:dyDescent="0.25">
      <c r="B31" s="19" t="s">
        <v>96</v>
      </c>
      <c r="C31" s="101">
        <v>9.4773582999999995E-2</v>
      </c>
    </row>
    <row r="32" spans="1:8" ht="15.75" customHeight="1" x14ac:dyDescent="0.25">
      <c r="B32" s="19" t="s">
        <v>97</v>
      </c>
      <c r="C32" s="101">
        <v>0.20791595299999999</v>
      </c>
    </row>
    <row r="33" spans="2:3" ht="15.75" customHeight="1" x14ac:dyDescent="0.25">
      <c r="B33" s="19" t="s">
        <v>98</v>
      </c>
      <c r="C33" s="101">
        <v>0.13742104999999999</v>
      </c>
    </row>
    <row r="34" spans="2:3" ht="15.75" customHeight="1" x14ac:dyDescent="0.25">
      <c r="B34" s="19" t="s">
        <v>99</v>
      </c>
      <c r="C34" s="101">
        <v>0.20906789100000001</v>
      </c>
    </row>
    <row r="35" spans="2:3" ht="15.75" customHeight="1" x14ac:dyDescent="0.25">
      <c r="B35" s="27" t="s">
        <v>30</v>
      </c>
      <c r="C35" s="48">
        <f>SUM(C26:C34)</f>
        <v>1.0000000010000001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(2024)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0.47748951465880585</v>
      </c>
      <c r="D2" s="52">
        <f>IFERROR(1-_xlfn.NORM.DIST(_xlfn.NORM.INV(SUM(D4:D5), 0, 1) + 1, 0, 1, TRUE), "")</f>
        <v>0.47748951465880585</v>
      </c>
      <c r="E2" s="52">
        <f>IFERROR(1-_xlfn.NORM.DIST(_xlfn.NORM.INV(SUM(E4:E5), 0, 1) + 1, 0, 1, TRUE), "")</f>
        <v>0.44427387128346996</v>
      </c>
      <c r="F2" s="52">
        <f>IFERROR(1-_xlfn.NORM.DIST(_xlfn.NORM.INV(SUM(F4:F5), 0, 1) + 1, 0, 1, TRUE), "")</f>
        <v>0.26835129037057226</v>
      </c>
      <c r="G2" s="52">
        <f>IFERROR(1-_xlfn.NORM.DIST(_xlfn.NORM.INV(SUM(G4:G5), 0, 1) + 1, 0, 1, TRUE), "")</f>
        <v>0.24059967202811738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0.34980927998405176</v>
      </c>
      <c r="D3" s="52">
        <f>IFERROR(_xlfn.NORM.DIST(_xlfn.NORM.INV(SUM(D4:D5), 0, 1) + 1, 0, 1, TRUE) - SUM(D4:D5), "")</f>
        <v>0.34980927998405176</v>
      </c>
      <c r="E3" s="52">
        <f>IFERROR(_xlfn.NORM.DIST(_xlfn.NORM.INV(SUM(E4:E5), 0, 1) + 1, 0, 1, TRUE) - SUM(E4:E5), "")</f>
        <v>0.36079244835938734</v>
      </c>
      <c r="F3" s="52">
        <f>IFERROR(_xlfn.NORM.DIST(_xlfn.NORM.INV(SUM(F4:F5), 0, 1) + 1, 0, 1, TRUE) - SUM(F4:F5), "")</f>
        <v>0.38048960962942774</v>
      </c>
      <c r="G3" s="52">
        <f>IFERROR(_xlfn.NORM.DIST(_xlfn.NORM.INV(SUM(G4:G5), 0, 1) + 1, 0, 1, TRUE) - SUM(G4:G5), "")</f>
        <v>0.37564213332902563</v>
      </c>
    </row>
    <row r="4" spans="1:15" ht="15.75" customHeight="1" x14ac:dyDescent="0.25">
      <c r="B4" s="5" t="s">
        <v>104</v>
      </c>
      <c r="C4" s="45">
        <v>0.100377583928571</v>
      </c>
      <c r="D4" s="53">
        <v>0.100377583928571</v>
      </c>
      <c r="E4" s="53">
        <v>0.120720032142857</v>
      </c>
      <c r="F4" s="53">
        <v>0.206891667857143</v>
      </c>
      <c r="G4" s="53">
        <v>0.224426075</v>
      </c>
    </row>
    <row r="5" spans="1:15" ht="15.75" customHeight="1" x14ac:dyDescent="0.25">
      <c r="B5" s="5" t="s">
        <v>105</v>
      </c>
      <c r="C5" s="45">
        <v>7.2323621428571391E-2</v>
      </c>
      <c r="D5" s="53">
        <v>7.2323621428571391E-2</v>
      </c>
      <c r="E5" s="53">
        <v>7.4213648214285707E-2</v>
      </c>
      <c r="F5" s="53">
        <v>0.14426743214285701</v>
      </c>
      <c r="G5" s="53">
        <v>0.15933211964285701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0.53812653814268863</v>
      </c>
      <c r="D8" s="52">
        <f>IFERROR(1-_xlfn.NORM.DIST(_xlfn.NORM.INV(SUM(D10:D11), 0, 1) + 1, 0, 1, TRUE), "")</f>
        <v>0.53812653814268863</v>
      </c>
      <c r="E8" s="52">
        <f>IFERROR(1-_xlfn.NORM.DIST(_xlfn.NORM.INV(SUM(E10:E11), 0, 1) + 1, 0, 1, TRUE), "")</f>
        <v>0.56035242159650323</v>
      </c>
      <c r="F8" s="52">
        <f>IFERROR(1-_xlfn.NORM.DIST(_xlfn.NORM.INV(SUM(F10:F11), 0, 1) + 1, 0, 1, TRUE), "")</f>
        <v>0.57922762492923829</v>
      </c>
      <c r="G8" s="52">
        <f>IFERROR(1-_xlfn.NORM.DIST(_xlfn.NORM.INV(SUM(G10:G11), 0, 1) + 1, 0, 1, TRUE), "")</f>
        <v>0.65018032637863876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0.32527170471445427</v>
      </c>
      <c r="D9" s="52">
        <f>IFERROR(_xlfn.NORM.DIST(_xlfn.NORM.INV(SUM(D10:D11), 0, 1) + 1, 0, 1, TRUE) - SUM(D10:D11), "")</f>
        <v>0.32527170471445427</v>
      </c>
      <c r="E9" s="52">
        <f>IFERROR(_xlfn.NORM.DIST(_xlfn.NORM.INV(SUM(E10:E11), 0, 1) + 1, 0, 1, TRUE) - SUM(E10:E11), "")</f>
        <v>0.31495884804635388</v>
      </c>
      <c r="F9" s="52">
        <f>IFERROR(_xlfn.NORM.DIST(_xlfn.NORM.INV(SUM(F10:F11), 0, 1) + 1, 0, 1, TRUE) - SUM(F10:F11), "")</f>
        <v>0.3056867714993331</v>
      </c>
      <c r="G9" s="52">
        <f>IFERROR(_xlfn.NORM.DIST(_xlfn.NORM.INV(SUM(G10:G11), 0, 1) + 1, 0, 1, TRUE) - SUM(G10:G11), "")</f>
        <v>0.26691680576421839</v>
      </c>
    </row>
    <row r="10" spans="1:15" ht="15.75" customHeight="1" x14ac:dyDescent="0.25">
      <c r="B10" s="5" t="s">
        <v>109</v>
      </c>
      <c r="C10" s="45">
        <v>8.2879166071428506E-2</v>
      </c>
      <c r="D10" s="53">
        <v>8.2879166071428506E-2</v>
      </c>
      <c r="E10" s="53">
        <v>8.5069555357142904E-2</v>
      </c>
      <c r="F10" s="53">
        <v>8.1781450000000006E-2</v>
      </c>
      <c r="G10" s="53">
        <v>6.1769744642857102E-2</v>
      </c>
    </row>
    <row r="11" spans="1:15" ht="15.75" customHeight="1" x14ac:dyDescent="0.25">
      <c r="B11" s="5" t="s">
        <v>110</v>
      </c>
      <c r="C11" s="45">
        <v>5.3722591071428599E-2</v>
      </c>
      <c r="D11" s="53">
        <v>5.3722591071428599E-2</v>
      </c>
      <c r="E11" s="53">
        <v>3.9619175E-2</v>
      </c>
      <c r="F11" s="53">
        <v>3.3304153571428602E-2</v>
      </c>
      <c r="G11" s="53">
        <v>2.11331232142857E-2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0.20510380375000001</v>
      </c>
      <c r="D14" s="54">
        <v>0.18616108902699999</v>
      </c>
      <c r="E14" s="54">
        <v>0.18616108902699999</v>
      </c>
      <c r="F14" s="54">
        <v>0.111192412666</v>
      </c>
      <c r="G14" s="54">
        <v>0.111192412666</v>
      </c>
      <c r="H14" s="45">
        <v>0.371</v>
      </c>
      <c r="I14" s="55">
        <v>0.371</v>
      </c>
      <c r="J14" s="55">
        <v>0.371</v>
      </c>
      <c r="K14" s="55">
        <v>0.371</v>
      </c>
      <c r="L14" s="45">
        <v>0.24399999999999999</v>
      </c>
      <c r="M14" s="55">
        <v>0.24399999999999999</v>
      </c>
      <c r="N14" s="55">
        <v>0.24399999999999999</v>
      </c>
      <c r="O14" s="55">
        <v>0.24399999999999999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0.12217725933681876</v>
      </c>
      <c r="D15" s="52">
        <f t="shared" si="0"/>
        <v>0.11089336831704849</v>
      </c>
      <c r="E15" s="52">
        <f t="shared" si="0"/>
        <v>0.11089336831704849</v>
      </c>
      <c r="F15" s="52">
        <f t="shared" si="0"/>
        <v>6.623565233894621E-2</v>
      </c>
      <c r="G15" s="52">
        <f t="shared" si="0"/>
        <v>6.623565233894621E-2</v>
      </c>
      <c r="H15" s="52">
        <f t="shared" si="0"/>
        <v>0.22099913500000001</v>
      </c>
      <c r="I15" s="52">
        <f t="shared" si="0"/>
        <v>0.22099913500000001</v>
      </c>
      <c r="J15" s="52">
        <f t="shared" si="0"/>
        <v>0.22099913500000001</v>
      </c>
      <c r="K15" s="52">
        <f t="shared" si="0"/>
        <v>0.22099913500000001</v>
      </c>
      <c r="L15" s="52">
        <f t="shared" si="0"/>
        <v>0.14534714000000001</v>
      </c>
      <c r="M15" s="52">
        <f t="shared" si="0"/>
        <v>0.14534714000000001</v>
      </c>
      <c r="N15" s="52">
        <f t="shared" si="0"/>
        <v>0.14534714000000001</v>
      </c>
      <c r="O15" s="52">
        <f t="shared" si="0"/>
        <v>0.14534714000000001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(2024)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0.63046120140845097</v>
      </c>
      <c r="D2" s="53">
        <v>0.43695124225352111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0.13987543571428601</v>
      </c>
      <c r="D3" s="53">
        <v>0.172720771830986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0.18968471549295801</v>
      </c>
      <c r="D4" s="53">
        <v>0.32114636056337997</v>
      </c>
      <c r="E4" s="53">
        <v>0.86012135342465701</v>
      </c>
      <c r="F4" s="53">
        <v>0.68589079999999991</v>
      </c>
      <c r="G4" s="53">
        <v>0</v>
      </c>
    </row>
    <row r="5" spans="1:7" x14ac:dyDescent="0.25">
      <c r="B5" s="3" t="s">
        <v>122</v>
      </c>
      <c r="C5" s="52">
        <v>4.2547995714285698E-2</v>
      </c>
      <c r="D5" s="52">
        <v>6.9181616901408394E-2</v>
      </c>
      <c r="E5" s="52">
        <f>1-SUM(E2:E4)</f>
        <v>0.13987864657534299</v>
      </c>
      <c r="F5" s="52">
        <f>1-SUM(F2:F4)</f>
        <v>0.31410920000000009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(2024)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</v>
      </c>
      <c r="C2" s="98">
        <v>0.95</v>
      </c>
      <c r="D2" s="56">
        <v>92.245047147143225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40.647032466246337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950.82377496430036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3.65004570019935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13.77933191004225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13.77933191004225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13.77933191004225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13.77933191004225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13.77933191004225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13.77933191004225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1.4860977099376029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0.95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21.758442885912821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21.758442885912821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</v>
      </c>
      <c r="C21" s="98">
        <v>0.95</v>
      </c>
      <c r="D21" s="56">
        <v>32.963044266470973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24.180959628055831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</v>
      </c>
      <c r="C23" s="98">
        <v>0.95</v>
      </c>
      <c r="D23" s="56">
        <v>4.7588079536301482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0.73859193869999995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</v>
      </c>
      <c r="C27" s="98">
        <v>0.95</v>
      </c>
      <c r="D27" s="56">
        <v>19.340697663417359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191.74008051799319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4.3398717631557826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</v>
      </c>
      <c r="C32" s="98">
        <v>0.95</v>
      </c>
      <c r="D32" s="56">
        <v>3.2697777913707609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0.95996129999999991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5.2784465228258819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C13" sqref="C13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2.2000000000000002</v>
      </c>
      <c r="C2" s="21">
        <f>'Baseline year population inputs'!C52</f>
        <v>2.2000000000000002</v>
      </c>
      <c r="D2" s="21">
        <f>'Baseline year population inputs'!C53</f>
        <v>2.2000000000000002</v>
      </c>
      <c r="E2" s="21">
        <f>'Baseline year population inputs'!C54</f>
        <v>2.2000000000000002</v>
      </c>
      <c r="F2" s="21">
        <f>'Baseline year population inputs'!C55</f>
        <v>2.2000000000000002</v>
      </c>
    </row>
    <row r="3" spans="1:6" ht="15.75" customHeight="1" x14ac:dyDescent="0.25">
      <c r="A3" s="3" t="s">
        <v>204</v>
      </c>
      <c r="B3" s="21">
        <f>frac_mam_1month * 2.6</f>
        <v>0.21548583178571412</v>
      </c>
      <c r="C3" s="21">
        <f>frac_mam_1_5months * 2.6</f>
        <v>0.21548583178571412</v>
      </c>
      <c r="D3" s="21">
        <f>frac_mam_6_11months * 2.6</f>
        <v>0.22118084392857157</v>
      </c>
      <c r="E3" s="21">
        <f>frac_mam_12_23months * 2.6</f>
        <v>0.21263177000000003</v>
      </c>
      <c r="F3" s="21">
        <f>frac_mam_24_59months * 2.6</f>
        <v>0.16060133607142846</v>
      </c>
    </row>
    <row r="4" spans="1:6" ht="15.75" customHeight="1" x14ac:dyDescent="0.25">
      <c r="A4" s="3" t="s">
        <v>205</v>
      </c>
      <c r="B4" s="21">
        <f>frac_sam_1month * 2.6</f>
        <v>0.13967873678571435</v>
      </c>
      <c r="C4" s="21">
        <f>frac_sam_1_5months * 2.6</f>
        <v>0.13967873678571435</v>
      </c>
      <c r="D4" s="21">
        <f>frac_sam_6_11months * 2.6</f>
        <v>0.103009855</v>
      </c>
      <c r="E4" s="21">
        <f>frac_sam_12_23months * 2.6</f>
        <v>8.6590799285714365E-2</v>
      </c>
      <c r="F4" s="21">
        <f>frac_sam_24_59months * 2.6</f>
        <v>5.4946120357142823E-2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0</v>
      </c>
      <c r="E2" s="60">
        <f>food_insecure</f>
        <v>0</v>
      </c>
      <c r="F2" s="60">
        <f>food_insecure</f>
        <v>0</v>
      </c>
      <c r="G2" s="60">
        <f>food_insecure</f>
        <v>0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</v>
      </c>
      <c r="F5" s="60">
        <f>food_insecure</f>
        <v>0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</v>
      </c>
      <c r="F8" s="60">
        <f>food_insecure</f>
        <v>0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</v>
      </c>
      <c r="F9" s="60">
        <f>food_insecure</f>
        <v>0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0.72</v>
      </c>
      <c r="E10" s="60">
        <f>IF(ISBLANK(comm_deliv), frac_children_health_facility,1)</f>
        <v>0.72</v>
      </c>
      <c r="F10" s="60">
        <f>IF(ISBLANK(comm_deliv), frac_children_health_facility,1)</f>
        <v>0.72</v>
      </c>
      <c r="G10" s="60">
        <f>IF(ISBLANK(comm_deliv), frac_children_health_facility,1)</f>
        <v>0.72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</v>
      </c>
      <c r="I15" s="60">
        <f>food_insecure</f>
        <v>0</v>
      </c>
      <c r="J15" s="60">
        <f>food_insecure</f>
        <v>0</v>
      </c>
      <c r="K15" s="60">
        <f>food_insecure</f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0.62</v>
      </c>
      <c r="I18" s="60">
        <f>frac_PW_health_facility</f>
        <v>0.62</v>
      </c>
      <c r="J18" s="60">
        <f>frac_PW_health_facility</f>
        <v>0.62</v>
      </c>
      <c r="K18" s="60">
        <f>frac_PW_health_facility</f>
        <v>0.62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0.10299999999999999</v>
      </c>
      <c r="M24" s="60">
        <f>famplan_unmet_need</f>
        <v>0.10299999999999999</v>
      </c>
      <c r="N24" s="60">
        <f>famplan_unmet_need</f>
        <v>0.10299999999999999</v>
      </c>
      <c r="O24" s="60">
        <f>famplan_unmet_need</f>
        <v>0.10299999999999999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0.10780426177978536</v>
      </c>
      <c r="M25" s="60">
        <f>(1-food_insecure)*(0.49)+food_insecure*(0.7)</f>
        <v>0.49</v>
      </c>
      <c r="N25" s="60">
        <f>(1-food_insecure)*(0.49)+food_insecure*(0.7)</f>
        <v>0.49</v>
      </c>
      <c r="O25" s="60">
        <f>(1-food_insecure)*(0.49)+food_insecure*(0.7)</f>
        <v>0.49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4.6201826477050865E-2</v>
      </c>
      <c r="M26" s="60">
        <f>(1-food_insecure)*(0.21)+food_insecure*(0.3)</f>
        <v>0.21</v>
      </c>
      <c r="N26" s="60">
        <f>(1-food_insecure)*(0.21)+food_insecure*(0.3)</f>
        <v>0.21</v>
      </c>
      <c r="O26" s="60">
        <f>(1-food_insecure)*(0.21)+food_insecure*(0.3)</f>
        <v>0.21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6.6002609252929806E-2</v>
      </c>
      <c r="M27" s="60">
        <f>(1-food_insecure)*(0.3)</f>
        <v>0.3</v>
      </c>
      <c r="N27" s="60">
        <f>(1-food_insecure)*(0.3)</f>
        <v>0.3</v>
      </c>
      <c r="O27" s="60">
        <f>(1-food_insecure)*(0.3)</f>
        <v>0.3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0.77999130249023396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A12" sqref="A12:XFD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D14" sqref="D14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IvQDIxW99fzq1Zy0EhkbKUzL+Oo6JppYFJRusT7f1RK58axANCQbQrXBA4I5Zda1hiQSlfJ6FnKfxlkgJRWRpg==" saltValue="tOfPnYqP3Wy6+yrctBxWkQ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" sqref="D5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v>1.56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v>1.56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v>1.56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v>1.56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v>1.37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v>1.37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v>1.37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v>1.37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v>1.77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v>1.77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riIqDHxQDNIc95k8WEEMlpv2yK5yRhEl3GZr9d21PG7QnhNwxgtjaWmZN+9widROwyhXiwQ4XZiTM/cZ2Cl95g==" saltValue="b1Xx0XPjIcbtdUQJGdoNkQ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31" zoomScale="85" zoomScaleNormal="85" workbookViewId="0">
      <selection activeCell="D53" sqref="D5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53" sqref="D53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D50" sqref="D50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
/ (SUM('Nutritional status distribution'!$E$4:$E$5)/(1-SUM('Nutritional status distribution'!$E$4:$E$5))))</f>
        <v>0.58868539542060538</v>
      </c>
      <c r="F6" s="90">
        <f>IF(ISBLANK('Nutritional status distribution'!$F$4),0.64, (0.64*SUM('Nutritional status distribution'!$F$4:$F$5)/(1-0.64*SUM('Nutritional status distribution'!$F$4:$F$5)))/ (SUM('Nutritional status distribution'!$F$4:$F$5)/(1-SUM('Nutritional status distribution'!$F$4:$F$5))))</f>
        <v>0.53563856384276287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0.85515264784850797</v>
      </c>
      <c r="F7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0.82633361111851122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0.85515264784850797</v>
      </c>
      <c r="F8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0.82633361111851122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distribution'!E$4),0.44, (0.44*SUM('Nutritional status distribution'!E$4:E$5)/(1-0.44*SUM('Nutritional status distribution'!E$4:E$5)))/ (SUM('Nutritional status distribution'!E$4:E$5)/(1-SUM('Nutritional status distribution'!E$4:E$5))))</f>
        <v>0.38746212453399753</v>
      </c>
      <c r="F29" s="90">
        <f>IF(ISBLANK('Nutritional status distribution'!F$4),0.44, (0.44*SUM('Nutritional status distribution'!F$4:F$5)/(1-0.44*SUM('Nutritional status distribution'!F$4:F$5)))/ (SUM('Nutritional status distribution'!F$4:F$5)/(1-SUM('Nutritional status distribution'!F$4:F$5))))</f>
        <v>0.3376621809254382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0.82020993116114049</v>
      </c>
      <c r="F30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0.78617698802105751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0.82020993116114049</v>
      </c>
      <c r="F31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0.78617698802105751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v>1.26</v>
      </c>
      <c r="D35" s="90">
        <v>1.1100000000000001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distribution'!E$4),0.92, (0.92*SUM('Nutritional status distribution'!E$4:E$5)/(1-0.92*SUM('Nutritional status distribution'!E$4:E$5)))/ (SUM('Nutritional status distribution'!E$4:E$5)/(1-SUM('Nutritional status distribution'!E$4:E$5))))</f>
        <v>0.90251760638280187</v>
      </c>
      <c r="F52" s="90">
        <f>IF(ISBLANK('Nutritional status distribution'!F$4),0.92, (0.92*SUM('Nutritional status distribution'!F$4:F$5)/(1-0.92*SUM('Nutritional status distribution'!F$4:F$5)))/ (SUM('Nutritional status distribution'!F$4:F$5)/(1-SUM('Nutritional status distribution'!F$4:F$5))))</f>
        <v>0.88182002386798231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0.89059218631972226</v>
      </c>
      <c r="F53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0.86773365807130454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0.89059218631972226</v>
      </c>
      <c r="F54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0.86773365807130454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v>1.78</v>
      </c>
      <c r="D58" s="90">
        <v>1.74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uxH3qxfpHv3MxEVFpMF959vuuHVMbjUY0YDJlIXIgHOAA25UaRTm/IIjRx7RzEUfWaTP3eP7cZpYIm+m6J8PbA==" saltValue="wm1A0TwV/0DyOIoqtNvf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10" zoomScale="70" zoomScaleNormal="70" workbookViewId="0">
      <selection activeCell="D50" sqref="D50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lEvf/7Nn9p0s2t120JFgJzNA1BIMAO9h8EmTziKGX5ZA7K3Y+rQ77oXfzNqKwsdbYQwCY96ujjsdxuDmqt1luA==" saltValue="pZcegXbvW/wKpwHEQP8p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E35" zoomScale="70" zoomScaleNormal="70" workbookViewId="0">
      <selection activeCell="D50" sqref="D50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0.9</v>
      </c>
      <c r="M10" s="90">
        <v>0.9</v>
      </c>
      <c r="N10" s="90">
        <v>0.9</v>
      </c>
      <c r="O10" s="90">
        <v>0.9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 t="shared" ref="E19:O19" si="0">0.72</f>
        <v>0.72</v>
      </c>
      <c r="F19" s="90">
        <f t="shared" si="0"/>
        <v>0.72</v>
      </c>
      <c r="G19" s="90">
        <f t="shared" si="0"/>
        <v>0.72</v>
      </c>
      <c r="H19" s="90">
        <f t="shared" si="0"/>
        <v>0.72</v>
      </c>
      <c r="I19" s="90">
        <f t="shared" si="0"/>
        <v>0.72</v>
      </c>
      <c r="J19" s="90">
        <f t="shared" si="0"/>
        <v>0.72</v>
      </c>
      <c r="K19" s="90">
        <f t="shared" si="0"/>
        <v>0.72</v>
      </c>
      <c r="L19" s="90">
        <f t="shared" si="0"/>
        <v>0.72</v>
      </c>
      <c r="M19" s="90">
        <f t="shared" si="0"/>
        <v>0.72</v>
      </c>
      <c r="N19" s="90">
        <f t="shared" si="0"/>
        <v>0.72</v>
      </c>
      <c r="O19" s="90">
        <f t="shared" si="0"/>
        <v>0.72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0.8</v>
      </c>
      <c r="F21" s="90">
        <v>0.8</v>
      </c>
      <c r="G21" s="90">
        <v>0.8</v>
      </c>
      <c r="H21" s="90">
        <v>0.8</v>
      </c>
      <c r="I21" s="90">
        <v>0.8</v>
      </c>
      <c r="J21" s="90">
        <v>0.8</v>
      </c>
      <c r="K21" s="90">
        <v>0.8</v>
      </c>
      <c r="L21" s="90">
        <v>0.8</v>
      </c>
      <c r="M21" s="90">
        <v>0.8</v>
      </c>
      <c r="N21" s="90">
        <v>0.8</v>
      </c>
      <c r="O21" s="90">
        <v>0.8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v>0.4</v>
      </c>
      <c r="D26" s="90">
        <v>0.4</v>
      </c>
      <c r="E26" s="90">
        <f t="shared" ref="E26:O26" si="1">IF(E3=1,1,E3*0.9)</f>
        <v>1</v>
      </c>
      <c r="F26" s="90">
        <f t="shared" si="1"/>
        <v>1</v>
      </c>
      <c r="G26" s="90">
        <f t="shared" si="1"/>
        <v>1</v>
      </c>
      <c r="H26" s="90">
        <f t="shared" si="1"/>
        <v>1</v>
      </c>
      <c r="I26" s="90">
        <f t="shared" si="1"/>
        <v>1</v>
      </c>
      <c r="J26" s="90">
        <f t="shared" si="1"/>
        <v>1</v>
      </c>
      <c r="K26" s="90">
        <f t="shared" si="1"/>
        <v>1</v>
      </c>
      <c r="L26" s="90">
        <f t="shared" si="1"/>
        <v>1</v>
      </c>
      <c r="M26" s="90">
        <f t="shared" si="1"/>
        <v>1</v>
      </c>
      <c r="N26" s="90">
        <f t="shared" si="1"/>
        <v>1</v>
      </c>
      <c r="O26" s="90">
        <f t="shared" si="1"/>
        <v>1</v>
      </c>
    </row>
    <row r="27" spans="1:15" x14ac:dyDescent="0.25">
      <c r="B27" s="11" t="s">
        <v>175</v>
      </c>
      <c r="C27" s="90">
        <f t="shared" ref="C27:G33" si="2">IF(C4=1,1,C4*0.9)</f>
        <v>1</v>
      </c>
      <c r="D27" s="90">
        <f t="shared" si="2"/>
        <v>1</v>
      </c>
      <c r="E27" s="90">
        <f t="shared" si="2"/>
        <v>1</v>
      </c>
      <c r="F27" s="90">
        <f t="shared" si="2"/>
        <v>1</v>
      </c>
      <c r="G27" s="90">
        <f t="shared" si="2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3">IF(L4=1,1,L4*0.9)</f>
        <v>1</v>
      </c>
      <c r="M27" s="90">
        <f t="shared" si="3"/>
        <v>1</v>
      </c>
      <c r="N27" s="90">
        <f t="shared" si="3"/>
        <v>1</v>
      </c>
      <c r="O27" s="90">
        <f t="shared" si="3"/>
        <v>1</v>
      </c>
    </row>
    <row r="28" spans="1:15" x14ac:dyDescent="0.25">
      <c r="B28" s="11" t="s">
        <v>176</v>
      </c>
      <c r="C28" s="90">
        <f t="shared" si="2"/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3"/>
        <v>1</v>
      </c>
      <c r="M28" s="90">
        <f t="shared" si="3"/>
        <v>1</v>
      </c>
      <c r="N28" s="90">
        <f t="shared" si="3"/>
        <v>1</v>
      </c>
      <c r="O28" s="90">
        <f t="shared" si="3"/>
        <v>1</v>
      </c>
    </row>
    <row r="29" spans="1:15" x14ac:dyDescent="0.25">
      <c r="B29" s="11" t="s">
        <v>177</v>
      </c>
      <c r="C29" s="90">
        <f t="shared" si="2"/>
        <v>1</v>
      </c>
      <c r="D29" s="90">
        <f t="shared" si="2"/>
        <v>1</v>
      </c>
      <c r="E29" s="90">
        <f t="shared" si="2"/>
        <v>1</v>
      </c>
      <c r="F29" s="90">
        <f t="shared" si="2"/>
        <v>1</v>
      </c>
      <c r="G29" s="90">
        <f t="shared" si="2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si="2"/>
        <v>1</v>
      </c>
      <c r="D30" s="90">
        <f t="shared" si="2"/>
        <v>1</v>
      </c>
      <c r="E30" s="90">
        <f t="shared" si="2"/>
        <v>1</v>
      </c>
      <c r="F30" s="90">
        <f t="shared" si="2"/>
        <v>1</v>
      </c>
      <c r="G30" s="90">
        <f t="shared" si="2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3"/>
        <v>1</v>
      </c>
      <c r="M30" s="90">
        <f t="shared" si="3"/>
        <v>1</v>
      </c>
      <c r="N30" s="90">
        <f t="shared" si="3"/>
        <v>1</v>
      </c>
      <c r="O30" s="90">
        <f t="shared" si="3"/>
        <v>1</v>
      </c>
    </row>
    <row r="31" spans="1:15" x14ac:dyDescent="0.25">
      <c r="B31" s="5" t="s">
        <v>179</v>
      </c>
      <c r="C31" s="90">
        <f t="shared" si="2"/>
        <v>1</v>
      </c>
      <c r="D31" s="90">
        <f t="shared" si="2"/>
        <v>1</v>
      </c>
      <c r="E31" s="90">
        <f t="shared" si="2"/>
        <v>1</v>
      </c>
      <c r="F31" s="90">
        <f t="shared" si="2"/>
        <v>1</v>
      </c>
      <c r="G31" s="90">
        <f t="shared" si="2"/>
        <v>1</v>
      </c>
      <c r="H31" s="90">
        <f t="shared" ref="H31:K34" si="4">IF(H8=1,1,H8*0.9)</f>
        <v>1</v>
      </c>
      <c r="I31" s="90">
        <f t="shared" si="4"/>
        <v>1</v>
      </c>
      <c r="J31" s="90">
        <f t="shared" si="4"/>
        <v>1</v>
      </c>
      <c r="K31" s="90">
        <f t="shared" si="4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180</v>
      </c>
      <c r="C32" s="90">
        <f t="shared" si="2"/>
        <v>1</v>
      </c>
      <c r="D32" s="90">
        <f t="shared" si="2"/>
        <v>1</v>
      </c>
      <c r="E32" s="90">
        <f t="shared" si="2"/>
        <v>1</v>
      </c>
      <c r="F32" s="90">
        <f t="shared" si="2"/>
        <v>1</v>
      </c>
      <c r="G32" s="90">
        <f t="shared" si="2"/>
        <v>1</v>
      </c>
      <c r="H32" s="90">
        <f t="shared" si="4"/>
        <v>1</v>
      </c>
      <c r="I32" s="90">
        <f t="shared" si="4"/>
        <v>1</v>
      </c>
      <c r="J32" s="90">
        <f t="shared" si="4"/>
        <v>1</v>
      </c>
      <c r="K32" s="90">
        <f t="shared" si="4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181</v>
      </c>
      <c r="C33" s="90">
        <f t="shared" si="2"/>
        <v>1</v>
      </c>
      <c r="D33" s="90">
        <f t="shared" si="2"/>
        <v>1</v>
      </c>
      <c r="E33" s="90">
        <f t="shared" si="2"/>
        <v>1</v>
      </c>
      <c r="F33" s="90">
        <f t="shared" si="2"/>
        <v>1</v>
      </c>
      <c r="G33" s="90">
        <f t="shared" si="2"/>
        <v>1</v>
      </c>
      <c r="H33" s="90">
        <f t="shared" si="4"/>
        <v>1</v>
      </c>
      <c r="I33" s="90">
        <f t="shared" si="4"/>
        <v>1</v>
      </c>
      <c r="J33" s="90">
        <f t="shared" si="4"/>
        <v>1</v>
      </c>
      <c r="K33" s="90">
        <f t="shared" si="4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4"/>
        <v>1</v>
      </c>
      <c r="I34" s="90">
        <f t="shared" si="4"/>
        <v>1</v>
      </c>
      <c r="J34" s="90">
        <f t="shared" si="4"/>
        <v>1</v>
      </c>
      <c r="K34" s="90">
        <f t="shared" si="4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188</v>
      </c>
      <c r="C36" s="90">
        <f t="shared" ref="C36:D38" si="5">IF(C13=1,1,C13*0.9)</f>
        <v>1</v>
      </c>
      <c r="D36" s="90">
        <f t="shared" si="5"/>
        <v>1</v>
      </c>
      <c r="E36" s="90">
        <v>0.62</v>
      </c>
      <c r="F36" s="90">
        <v>0.62</v>
      </c>
      <c r="G36" s="90">
        <v>0.62</v>
      </c>
      <c r="H36" s="90">
        <f t="shared" ref="H36:O36" si="6">IF(H13=1,1,H13*0.9)</f>
        <v>1</v>
      </c>
      <c r="I36" s="90">
        <f t="shared" si="6"/>
        <v>1</v>
      </c>
      <c r="J36" s="90">
        <f t="shared" si="6"/>
        <v>1</v>
      </c>
      <c r="K36" s="90">
        <f t="shared" si="6"/>
        <v>1</v>
      </c>
      <c r="L36" s="90">
        <f t="shared" si="6"/>
        <v>1</v>
      </c>
      <c r="M36" s="90">
        <f t="shared" si="6"/>
        <v>1</v>
      </c>
      <c r="N36" s="90">
        <f t="shared" si="6"/>
        <v>1</v>
      </c>
      <c r="O36" s="90">
        <f t="shared" si="6"/>
        <v>1</v>
      </c>
    </row>
    <row r="37" spans="1:15" x14ac:dyDescent="0.25">
      <c r="B37" s="11" t="s">
        <v>189</v>
      </c>
      <c r="C37" s="90">
        <f t="shared" si="5"/>
        <v>1</v>
      </c>
      <c r="D37" s="90">
        <f t="shared" si="5"/>
        <v>1</v>
      </c>
      <c r="E37" s="90">
        <f t="shared" ref="E37:K37" si="7">IF(E14=1,1,E14*0.9)</f>
        <v>1</v>
      </c>
      <c r="F37" s="90">
        <f t="shared" si="7"/>
        <v>1</v>
      </c>
      <c r="G37" s="90">
        <f t="shared" si="7"/>
        <v>1</v>
      </c>
      <c r="H37" s="90">
        <f t="shared" si="7"/>
        <v>1</v>
      </c>
      <c r="I37" s="90">
        <f t="shared" si="7"/>
        <v>1</v>
      </c>
      <c r="J37" s="90">
        <f t="shared" si="7"/>
        <v>1</v>
      </c>
      <c r="K37" s="90">
        <f t="shared" si="7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192</v>
      </c>
      <c r="C38" s="90">
        <f t="shared" si="5"/>
        <v>1</v>
      </c>
      <c r="D38" s="90">
        <f t="shared" si="5"/>
        <v>1</v>
      </c>
      <c r="E38" s="90">
        <v>0.3</v>
      </c>
      <c r="F38" s="90">
        <v>0.3</v>
      </c>
      <c r="G38" s="90">
        <f t="shared" ref="G38:O38" si="8">IF(G15=1,1,G15*0.9)</f>
        <v>1</v>
      </c>
      <c r="H38" s="90">
        <f t="shared" si="8"/>
        <v>1</v>
      </c>
      <c r="I38" s="90">
        <f t="shared" si="8"/>
        <v>1</v>
      </c>
      <c r="J38" s="90">
        <f t="shared" si="8"/>
        <v>1</v>
      </c>
      <c r="K38" s="90">
        <f t="shared" si="8"/>
        <v>1</v>
      </c>
      <c r="L38" s="90">
        <f t="shared" si="8"/>
        <v>1</v>
      </c>
      <c r="M38" s="90">
        <f t="shared" si="8"/>
        <v>1</v>
      </c>
      <c r="N38" s="90">
        <f t="shared" si="8"/>
        <v>1</v>
      </c>
      <c r="O38" s="90">
        <f t="shared" si="8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9">IF(C18=1,1,C18*0.9)</f>
        <v>1</v>
      </c>
      <c r="D41" s="90">
        <f t="shared" si="9"/>
        <v>1</v>
      </c>
      <c r="E41" s="90">
        <f t="shared" si="9"/>
        <v>1</v>
      </c>
      <c r="F41" s="90">
        <f t="shared" si="9"/>
        <v>1</v>
      </c>
      <c r="G41" s="90">
        <f t="shared" si="9"/>
        <v>1</v>
      </c>
      <c r="H41" s="90">
        <f t="shared" si="9"/>
        <v>1</v>
      </c>
      <c r="I41" s="90">
        <f t="shared" si="9"/>
        <v>1</v>
      </c>
      <c r="J41" s="90">
        <f t="shared" si="9"/>
        <v>1</v>
      </c>
      <c r="K41" s="90">
        <f t="shared" si="9"/>
        <v>1</v>
      </c>
      <c r="L41" s="90">
        <f t="shared" si="9"/>
        <v>1</v>
      </c>
      <c r="M41" s="90">
        <f t="shared" si="9"/>
        <v>1</v>
      </c>
      <c r="N41" s="90">
        <f t="shared" si="9"/>
        <v>1</v>
      </c>
      <c r="O41" s="90">
        <f t="shared" si="9"/>
        <v>1</v>
      </c>
    </row>
    <row r="42" spans="1:15" x14ac:dyDescent="0.25">
      <c r="B42" s="5" t="s">
        <v>173</v>
      </c>
      <c r="C42" s="90">
        <f t="shared" ref="C42:D44" si="10">IF(C19=1,1,C19*0.9)</f>
        <v>1</v>
      </c>
      <c r="D42" s="90">
        <f t="shared" si="10"/>
        <v>1</v>
      </c>
      <c r="E42" s="90">
        <v>0.54</v>
      </c>
      <c r="F42" s="90">
        <v>0.54</v>
      </c>
      <c r="G42" s="90">
        <v>0.54</v>
      </c>
      <c r="H42" s="90">
        <v>0.54</v>
      </c>
      <c r="I42" s="90">
        <v>0.54</v>
      </c>
      <c r="J42" s="90">
        <v>0.54</v>
      </c>
      <c r="K42" s="90">
        <v>0.54</v>
      </c>
      <c r="L42" s="90">
        <v>0.54</v>
      </c>
      <c r="M42" s="90">
        <v>0.54</v>
      </c>
      <c r="N42" s="90">
        <v>0.54</v>
      </c>
      <c r="O42" s="90">
        <v>0.54</v>
      </c>
    </row>
    <row r="43" spans="1:15" x14ac:dyDescent="0.25">
      <c r="B43" s="5" t="s">
        <v>174</v>
      </c>
      <c r="C43" s="90">
        <f t="shared" si="10"/>
        <v>1</v>
      </c>
      <c r="D43" s="90">
        <f t="shared" si="10"/>
        <v>1</v>
      </c>
      <c r="E43" s="90">
        <f t="shared" ref="E43:O43" si="11">IF(E20=1,1,E20*0.9)</f>
        <v>1</v>
      </c>
      <c r="F43" s="90">
        <f t="shared" si="11"/>
        <v>1</v>
      </c>
      <c r="G43" s="90">
        <f t="shared" si="11"/>
        <v>1</v>
      </c>
      <c r="H43" s="90">
        <f t="shared" si="11"/>
        <v>1</v>
      </c>
      <c r="I43" s="90">
        <f t="shared" si="11"/>
        <v>1</v>
      </c>
      <c r="J43" s="90">
        <f t="shared" si="11"/>
        <v>1</v>
      </c>
      <c r="K43" s="90">
        <f t="shared" si="11"/>
        <v>1</v>
      </c>
      <c r="L43" s="90">
        <f t="shared" si="11"/>
        <v>1</v>
      </c>
      <c r="M43" s="90">
        <f t="shared" si="11"/>
        <v>1</v>
      </c>
      <c r="N43" s="90">
        <f t="shared" si="11"/>
        <v>1</v>
      </c>
      <c r="O43" s="90">
        <f t="shared" si="11"/>
        <v>1</v>
      </c>
    </row>
    <row r="44" spans="1:15" x14ac:dyDescent="0.25">
      <c r="B44" s="5" t="s">
        <v>182</v>
      </c>
      <c r="C44" s="90">
        <f t="shared" si="10"/>
        <v>1</v>
      </c>
      <c r="D44" s="90">
        <f t="shared" si="10"/>
        <v>1</v>
      </c>
      <c r="E44" s="90">
        <v>0.7</v>
      </c>
      <c r="F44" s="90">
        <v>0.7</v>
      </c>
      <c r="G44" s="90">
        <v>0.7</v>
      </c>
      <c r="H44" s="90">
        <v>0.7</v>
      </c>
      <c r="I44" s="90">
        <v>0.7</v>
      </c>
      <c r="J44" s="90">
        <v>0.7</v>
      </c>
      <c r="K44" s="90">
        <v>0.7</v>
      </c>
      <c r="L44" s="90">
        <v>0.7</v>
      </c>
      <c r="M44" s="90">
        <v>0.7</v>
      </c>
      <c r="N44" s="90">
        <v>0.7</v>
      </c>
      <c r="O44" s="90">
        <v>0.7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v>0.7</v>
      </c>
      <c r="D49" s="90">
        <v>0.7</v>
      </c>
      <c r="E49" s="90">
        <f t="shared" ref="E49:O49" si="12">IF(E3=1,1,E3*1.05)</f>
        <v>1</v>
      </c>
      <c r="F49" s="90">
        <f t="shared" si="12"/>
        <v>1</v>
      </c>
      <c r="G49" s="90">
        <f t="shared" si="12"/>
        <v>1</v>
      </c>
      <c r="H49" s="90">
        <f t="shared" si="12"/>
        <v>1</v>
      </c>
      <c r="I49" s="90">
        <f t="shared" si="12"/>
        <v>1</v>
      </c>
      <c r="J49" s="90">
        <f t="shared" si="12"/>
        <v>1</v>
      </c>
      <c r="K49" s="90">
        <f t="shared" si="12"/>
        <v>1</v>
      </c>
      <c r="L49" s="90">
        <f t="shared" si="12"/>
        <v>1</v>
      </c>
      <c r="M49" s="90">
        <f t="shared" si="12"/>
        <v>1</v>
      </c>
      <c r="N49" s="90">
        <f t="shared" si="12"/>
        <v>1</v>
      </c>
      <c r="O49" s="90">
        <f t="shared" si="12"/>
        <v>1</v>
      </c>
    </row>
    <row r="50" spans="1:15" x14ac:dyDescent="0.25">
      <c r="B50" s="11" t="s">
        <v>175</v>
      </c>
      <c r="C50" s="90">
        <f t="shared" ref="C50:G56" si="13">IF(C4=1,1,C4*1.05)</f>
        <v>1</v>
      </c>
      <c r="D50" s="90">
        <f t="shared" si="13"/>
        <v>1</v>
      </c>
      <c r="E50" s="90">
        <f t="shared" si="13"/>
        <v>1</v>
      </c>
      <c r="F50" s="90">
        <f t="shared" si="13"/>
        <v>1</v>
      </c>
      <c r="G50" s="90">
        <f t="shared" si="13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4">IF(L4=1,1,L4*1.05)</f>
        <v>1</v>
      </c>
      <c r="M50" s="90">
        <f t="shared" si="14"/>
        <v>1</v>
      </c>
      <c r="N50" s="90">
        <f t="shared" si="14"/>
        <v>1</v>
      </c>
      <c r="O50" s="90">
        <f t="shared" si="14"/>
        <v>1</v>
      </c>
    </row>
    <row r="51" spans="1:15" x14ac:dyDescent="0.25">
      <c r="B51" s="11" t="s">
        <v>176</v>
      </c>
      <c r="C51" s="90">
        <f t="shared" si="13"/>
        <v>1</v>
      </c>
      <c r="D51" s="90">
        <f t="shared" si="13"/>
        <v>1</v>
      </c>
      <c r="E51" s="90">
        <f t="shared" si="13"/>
        <v>1</v>
      </c>
      <c r="F51" s="90">
        <f t="shared" si="13"/>
        <v>1</v>
      </c>
      <c r="G51" s="90">
        <f t="shared" si="13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4"/>
        <v>1</v>
      </c>
      <c r="M51" s="90">
        <f t="shared" si="14"/>
        <v>1</v>
      </c>
      <c r="N51" s="90">
        <f t="shared" si="14"/>
        <v>1</v>
      </c>
      <c r="O51" s="90">
        <f t="shared" si="14"/>
        <v>1</v>
      </c>
    </row>
    <row r="52" spans="1:15" x14ac:dyDescent="0.25">
      <c r="B52" s="11" t="s">
        <v>177</v>
      </c>
      <c r="C52" s="90">
        <f t="shared" si="13"/>
        <v>1</v>
      </c>
      <c r="D52" s="90">
        <f t="shared" si="13"/>
        <v>1</v>
      </c>
      <c r="E52" s="90">
        <f t="shared" si="13"/>
        <v>1</v>
      </c>
      <c r="F52" s="90">
        <f t="shared" si="13"/>
        <v>1</v>
      </c>
      <c r="G52" s="90">
        <f t="shared" si="13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4"/>
        <v>1</v>
      </c>
      <c r="M52" s="90">
        <f t="shared" si="14"/>
        <v>1</v>
      </c>
      <c r="N52" s="90">
        <f t="shared" si="14"/>
        <v>1</v>
      </c>
      <c r="O52" s="90">
        <f t="shared" si="14"/>
        <v>1</v>
      </c>
    </row>
    <row r="53" spans="1:15" x14ac:dyDescent="0.25">
      <c r="B53" s="11" t="s">
        <v>178</v>
      </c>
      <c r="C53" s="90">
        <f t="shared" si="13"/>
        <v>1</v>
      </c>
      <c r="D53" s="90">
        <f t="shared" si="13"/>
        <v>1</v>
      </c>
      <c r="E53" s="90">
        <f t="shared" si="13"/>
        <v>1</v>
      </c>
      <c r="F53" s="90">
        <f t="shared" si="13"/>
        <v>1</v>
      </c>
      <c r="G53" s="90">
        <f t="shared" si="13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4"/>
        <v>1</v>
      </c>
      <c r="M53" s="90">
        <f t="shared" si="14"/>
        <v>1</v>
      </c>
      <c r="N53" s="90">
        <f t="shared" si="14"/>
        <v>1</v>
      </c>
      <c r="O53" s="90">
        <f t="shared" si="14"/>
        <v>1</v>
      </c>
    </row>
    <row r="54" spans="1:15" x14ac:dyDescent="0.25">
      <c r="B54" s="5" t="s">
        <v>179</v>
      </c>
      <c r="C54" s="90">
        <f t="shared" si="13"/>
        <v>1</v>
      </c>
      <c r="D54" s="90">
        <f t="shared" si="13"/>
        <v>1</v>
      </c>
      <c r="E54" s="90">
        <f t="shared" si="13"/>
        <v>1</v>
      </c>
      <c r="F54" s="90">
        <f t="shared" si="13"/>
        <v>1</v>
      </c>
      <c r="G54" s="90">
        <f t="shared" si="13"/>
        <v>1</v>
      </c>
      <c r="H54" s="90">
        <f t="shared" ref="H54:K57" si="15">IF(H8=1,1,H8*1.05)</f>
        <v>1</v>
      </c>
      <c r="I54" s="90">
        <f t="shared" si="15"/>
        <v>1</v>
      </c>
      <c r="J54" s="90">
        <f t="shared" si="15"/>
        <v>1</v>
      </c>
      <c r="K54" s="90">
        <f t="shared" si="15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180</v>
      </c>
      <c r="C55" s="90">
        <f t="shared" si="13"/>
        <v>1</v>
      </c>
      <c r="D55" s="90">
        <f t="shared" si="13"/>
        <v>1</v>
      </c>
      <c r="E55" s="90">
        <f t="shared" si="13"/>
        <v>1</v>
      </c>
      <c r="F55" s="90">
        <f t="shared" si="13"/>
        <v>1</v>
      </c>
      <c r="G55" s="90">
        <f t="shared" si="13"/>
        <v>1</v>
      </c>
      <c r="H55" s="90">
        <f t="shared" si="15"/>
        <v>1</v>
      </c>
      <c r="I55" s="90">
        <f t="shared" si="15"/>
        <v>1</v>
      </c>
      <c r="J55" s="90">
        <f t="shared" si="15"/>
        <v>1</v>
      </c>
      <c r="K55" s="90">
        <f t="shared" si="15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181</v>
      </c>
      <c r="C56" s="90">
        <f t="shared" si="13"/>
        <v>1</v>
      </c>
      <c r="D56" s="90">
        <f t="shared" si="13"/>
        <v>1</v>
      </c>
      <c r="E56" s="90">
        <f t="shared" si="13"/>
        <v>1</v>
      </c>
      <c r="F56" s="90">
        <f t="shared" si="13"/>
        <v>1</v>
      </c>
      <c r="G56" s="90">
        <f t="shared" si="13"/>
        <v>1</v>
      </c>
      <c r="H56" s="90">
        <f t="shared" si="15"/>
        <v>1</v>
      </c>
      <c r="I56" s="90">
        <f t="shared" si="15"/>
        <v>1</v>
      </c>
      <c r="J56" s="90">
        <f t="shared" si="15"/>
        <v>1</v>
      </c>
      <c r="K56" s="90">
        <f t="shared" si="15"/>
        <v>1</v>
      </c>
      <c r="L56" s="90">
        <v>0.95</v>
      </c>
      <c r="M56" s="90">
        <v>0.95</v>
      </c>
      <c r="N56" s="90">
        <v>0.95</v>
      </c>
      <c r="O56" s="90">
        <v>0.95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5"/>
        <v>1</v>
      </c>
      <c r="I57" s="90">
        <f t="shared" si="15"/>
        <v>1</v>
      </c>
      <c r="J57" s="90">
        <f t="shared" si="15"/>
        <v>1</v>
      </c>
      <c r="K57" s="90">
        <f t="shared" si="15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188</v>
      </c>
      <c r="C59" s="90">
        <f t="shared" ref="C59:D61" si="16">IF(C13=1,1,C13*1.05)</f>
        <v>1</v>
      </c>
      <c r="D59" s="90">
        <f t="shared" si="16"/>
        <v>1</v>
      </c>
      <c r="E59" s="90">
        <v>0.77</v>
      </c>
      <c r="F59" s="90">
        <v>0.77</v>
      </c>
      <c r="G59" s="90">
        <v>0.77</v>
      </c>
      <c r="H59" s="90">
        <f t="shared" ref="H59:O59" si="17">IF(H13=1,1,H13*1.05)</f>
        <v>1</v>
      </c>
      <c r="I59" s="90">
        <f t="shared" si="17"/>
        <v>1</v>
      </c>
      <c r="J59" s="90">
        <f t="shared" si="17"/>
        <v>1</v>
      </c>
      <c r="K59" s="90">
        <f t="shared" si="17"/>
        <v>1</v>
      </c>
      <c r="L59" s="90">
        <f t="shared" si="17"/>
        <v>1</v>
      </c>
      <c r="M59" s="90">
        <f t="shared" si="17"/>
        <v>1</v>
      </c>
      <c r="N59" s="90">
        <f t="shared" si="17"/>
        <v>1</v>
      </c>
      <c r="O59" s="90">
        <f t="shared" si="17"/>
        <v>1</v>
      </c>
    </row>
    <row r="60" spans="1:15" x14ac:dyDescent="0.25">
      <c r="B60" s="11" t="s">
        <v>189</v>
      </c>
      <c r="C60" s="90">
        <f t="shared" si="16"/>
        <v>1</v>
      </c>
      <c r="D60" s="90">
        <f t="shared" si="16"/>
        <v>1</v>
      </c>
      <c r="E60" s="90">
        <f t="shared" ref="E60:K60" si="18">IF(E14=1,1,E14*1.05)</f>
        <v>1</v>
      </c>
      <c r="F60" s="90">
        <f t="shared" si="18"/>
        <v>1</v>
      </c>
      <c r="G60" s="90">
        <f t="shared" si="18"/>
        <v>1</v>
      </c>
      <c r="H60" s="90">
        <f t="shared" si="18"/>
        <v>1</v>
      </c>
      <c r="I60" s="90">
        <f t="shared" si="18"/>
        <v>1</v>
      </c>
      <c r="J60" s="90">
        <f t="shared" si="18"/>
        <v>1</v>
      </c>
      <c r="K60" s="90">
        <f t="shared" si="18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192</v>
      </c>
      <c r="C61" s="90">
        <f t="shared" si="16"/>
        <v>1</v>
      </c>
      <c r="D61" s="90">
        <f t="shared" si="16"/>
        <v>1</v>
      </c>
      <c r="E61" s="90">
        <v>0.44</v>
      </c>
      <c r="F61" s="90">
        <v>0.44</v>
      </c>
      <c r="G61" s="90">
        <f t="shared" ref="G61:O61" si="19">IF(G15=1,1,G15*1.05)</f>
        <v>1</v>
      </c>
      <c r="H61" s="90">
        <f t="shared" si="19"/>
        <v>1</v>
      </c>
      <c r="I61" s="90">
        <f t="shared" si="19"/>
        <v>1</v>
      </c>
      <c r="J61" s="90">
        <f t="shared" si="19"/>
        <v>1</v>
      </c>
      <c r="K61" s="90">
        <f t="shared" si="19"/>
        <v>1</v>
      </c>
      <c r="L61" s="90">
        <f t="shared" si="19"/>
        <v>1</v>
      </c>
      <c r="M61" s="90">
        <f t="shared" si="19"/>
        <v>1</v>
      </c>
      <c r="N61" s="90">
        <f t="shared" si="19"/>
        <v>1</v>
      </c>
      <c r="O61" s="90">
        <f t="shared" si="19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0">IF(C18=1,1,C18*1.05)</f>
        <v>1</v>
      </c>
      <c r="D64" s="90">
        <f t="shared" si="20"/>
        <v>1</v>
      </c>
      <c r="E64" s="90">
        <f t="shared" si="20"/>
        <v>1</v>
      </c>
      <c r="F64" s="90">
        <f t="shared" si="20"/>
        <v>1</v>
      </c>
      <c r="G64" s="90">
        <f t="shared" si="20"/>
        <v>1</v>
      </c>
      <c r="H64" s="90">
        <f t="shared" si="20"/>
        <v>1</v>
      </c>
      <c r="I64" s="90">
        <f t="shared" si="20"/>
        <v>1</v>
      </c>
      <c r="J64" s="90">
        <f t="shared" si="20"/>
        <v>1</v>
      </c>
      <c r="K64" s="90">
        <f t="shared" si="20"/>
        <v>1</v>
      </c>
      <c r="L64" s="90">
        <f t="shared" si="20"/>
        <v>1</v>
      </c>
      <c r="M64" s="90">
        <f t="shared" si="20"/>
        <v>1</v>
      </c>
      <c r="N64" s="90">
        <f t="shared" si="20"/>
        <v>1</v>
      </c>
      <c r="O64" s="90">
        <f t="shared" si="20"/>
        <v>1</v>
      </c>
    </row>
    <row r="65" spans="2:15" x14ac:dyDescent="0.25">
      <c r="B65" s="5" t="s">
        <v>173</v>
      </c>
      <c r="C65" s="90">
        <f t="shared" ref="C65:D67" si="21">IF(C19=1,1,C19*1.05)</f>
        <v>1</v>
      </c>
      <c r="D65" s="90">
        <f t="shared" si="21"/>
        <v>1</v>
      </c>
      <c r="E65" s="90">
        <v>0.97</v>
      </c>
      <c r="F65" s="90">
        <v>0.97</v>
      </c>
      <c r="G65" s="90">
        <v>0.97</v>
      </c>
      <c r="H65" s="90">
        <v>0.97</v>
      </c>
      <c r="I65" s="90">
        <v>0.97</v>
      </c>
      <c r="J65" s="90">
        <v>0.97</v>
      </c>
      <c r="K65" s="90">
        <v>0.97</v>
      </c>
      <c r="L65" s="90">
        <v>0.97</v>
      </c>
      <c r="M65" s="90">
        <v>0.97</v>
      </c>
      <c r="N65" s="90">
        <v>0.97</v>
      </c>
      <c r="O65" s="90">
        <v>0.97</v>
      </c>
    </row>
    <row r="66" spans="2:15" x14ac:dyDescent="0.25">
      <c r="B66" s="5" t="s">
        <v>174</v>
      </c>
      <c r="C66" s="90">
        <f t="shared" si="21"/>
        <v>1</v>
      </c>
      <c r="D66" s="90">
        <f t="shared" si="21"/>
        <v>1</v>
      </c>
      <c r="E66" s="90">
        <f t="shared" ref="E66:O66" si="22">IF(E20=1,1,E20*1.05)</f>
        <v>1</v>
      </c>
      <c r="F66" s="90">
        <f t="shared" si="22"/>
        <v>1</v>
      </c>
      <c r="G66" s="90">
        <f t="shared" si="22"/>
        <v>1</v>
      </c>
      <c r="H66" s="90">
        <f t="shared" si="22"/>
        <v>1</v>
      </c>
      <c r="I66" s="90">
        <f t="shared" si="22"/>
        <v>1</v>
      </c>
      <c r="J66" s="90">
        <f t="shared" si="22"/>
        <v>1</v>
      </c>
      <c r="K66" s="90">
        <f t="shared" si="22"/>
        <v>1</v>
      </c>
      <c r="L66" s="90">
        <f t="shared" si="22"/>
        <v>1</v>
      </c>
      <c r="M66" s="90">
        <f t="shared" si="22"/>
        <v>1</v>
      </c>
      <c r="N66" s="90">
        <f t="shared" si="22"/>
        <v>1</v>
      </c>
      <c r="O66" s="90">
        <f t="shared" si="22"/>
        <v>1</v>
      </c>
    </row>
    <row r="67" spans="2:15" x14ac:dyDescent="0.25">
      <c r="B67" s="5" t="s">
        <v>182</v>
      </c>
      <c r="C67" s="90">
        <f t="shared" si="21"/>
        <v>1</v>
      </c>
      <c r="D67" s="90">
        <f t="shared" si="21"/>
        <v>1</v>
      </c>
      <c r="E67" s="90">
        <v>0.92</v>
      </c>
      <c r="F67" s="90">
        <v>0.92</v>
      </c>
      <c r="G67" s="90">
        <v>0.92</v>
      </c>
      <c r="H67" s="90">
        <v>0.92</v>
      </c>
      <c r="I67" s="90">
        <v>0.92</v>
      </c>
      <c r="J67" s="90">
        <v>0.92</v>
      </c>
      <c r="K67" s="90">
        <v>0.92</v>
      </c>
      <c r="L67" s="90">
        <v>0.92</v>
      </c>
      <c r="M67" s="90">
        <v>0.92</v>
      </c>
      <c r="N67" s="90">
        <v>0.92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0.89684340829379006</v>
      </c>
    </row>
  </sheetData>
  <sheetProtection algorithmName="SHA-512" hashValue="QTNrTNcX0LQnvnw9OcFIuF8iiKsb7nBsadUCrO1kCxqB4CvEkER3v8YCwNBmR8txM/1IAuOQ/zC/vA8HLWjOhA==" saltValue="f5+QlQPEjGE24L/HhPaCM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3" sqref="D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1/1.33</f>
        <v>0.75187969924812026</v>
      </c>
      <c r="E3" s="90">
        <f>1/1.33</f>
        <v>0.75187969924812026</v>
      </c>
      <c r="F3" s="90">
        <f>1/1.33</f>
        <v>0.75187969924812026</v>
      </c>
      <c r="G3" s="90">
        <f>1/1.33</f>
        <v>0.75187969924812026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1/1.33</f>
        <v>0.75187969924812026</v>
      </c>
      <c r="E5" s="90">
        <f>1/1.33</f>
        <v>0.75187969924812026</v>
      </c>
      <c r="F5" s="90">
        <f>1/1.33</f>
        <v>0.75187969924812026</v>
      </c>
      <c r="G5" s="90">
        <f>1/1.33</f>
        <v>0.75187969924812026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v>1</v>
      </c>
      <c r="D10" s="90">
        <f>1/1.54</f>
        <v>0.64935064935064934</v>
      </c>
      <c r="E10" s="90">
        <f>1/1.54</f>
        <v>0.64935064935064934</v>
      </c>
      <c r="F10" s="90">
        <f>1/1.54</f>
        <v>0.64935064935064934</v>
      </c>
      <c r="G10" s="90">
        <f>1/1.54</f>
        <v>0.64935064935064934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v>1</v>
      </c>
      <c r="D12" s="90">
        <f>1/1.54</f>
        <v>0.64935064935064934</v>
      </c>
      <c r="E12" s="90">
        <f>1/1.54</f>
        <v>0.64935064935064934</v>
      </c>
      <c r="F12" s="90">
        <f>1/1.54</f>
        <v>0.64935064935064934</v>
      </c>
      <c r="G12" s="90">
        <f>1/1.54</f>
        <v>0.64935064935064934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v>1</v>
      </c>
      <c r="D17" s="90">
        <f>1/1.16</f>
        <v>0.86206896551724144</v>
      </c>
      <c r="E17" s="90">
        <f>1/1.16</f>
        <v>0.86206896551724144</v>
      </c>
      <c r="F17" s="90">
        <f>1/1.16</f>
        <v>0.86206896551724144</v>
      </c>
      <c r="G17" s="90">
        <f>1/1.16</f>
        <v>0.86206896551724144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v>1</v>
      </c>
      <c r="D19" s="90">
        <f>1/1.16</f>
        <v>0.86206896551724144</v>
      </c>
      <c r="E19" s="90">
        <f>1/1.16</f>
        <v>0.86206896551724144</v>
      </c>
      <c r="F19" s="90">
        <f>1/1.16</f>
        <v>0.86206896551724144</v>
      </c>
      <c r="G19" s="90">
        <f>1/1.16</f>
        <v>0.86206896551724144</v>
      </c>
    </row>
  </sheetData>
  <sheetProtection algorithmName="SHA-512" hashValue="ZIjv20oIFeX8hEAP3JXu7+FjYQdIWvRgXIH4IkxRsMm14MAW5JMg2x9QOPJ7rc+IAMFEDvKO0XCydnz4Atw3VA==" saltValue="eIHIWivrA2mRyU/FI0KAAQ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53" zoomScale="80" zoomScaleNormal="80" workbookViewId="0">
      <selection activeCell="D50" sqref="D50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x14ac:dyDescent="0.25">
      <c r="C4" s="5" t="s">
        <v>340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x14ac:dyDescent="0.25">
      <c r="C44" s="5" t="s">
        <v>340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x14ac:dyDescent="0.25">
      <c r="B45" s="5" t="s">
        <v>82</v>
      </c>
      <c r="C45" s="5" t="s">
        <v>338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0.32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x14ac:dyDescent="0.25">
      <c r="C59" s="5" t="s">
        <v>340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x14ac:dyDescent="0.25">
      <c r="C61" s="5" t="s">
        <v>340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x14ac:dyDescent="0.25">
      <c r="B62" s="5" t="s">
        <v>204</v>
      </c>
      <c r="C62" s="5" t="s">
        <v>338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x14ac:dyDescent="0.25">
      <c r="C63" s="5" t="s">
        <v>340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x14ac:dyDescent="0.25">
      <c r="C65" s="5" t="s">
        <v>340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x14ac:dyDescent="0.25">
      <c r="B66" s="5" t="s">
        <v>204</v>
      </c>
      <c r="C66" s="5" t="s">
        <v>338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x14ac:dyDescent="0.25">
      <c r="C67" s="5" t="s">
        <v>340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x14ac:dyDescent="0.25">
      <c r="C69" s="5" t="s">
        <v>340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340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340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340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340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340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340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82</v>
      </c>
      <c r="C100" s="5" t="s">
        <v>338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340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0.14000000000000001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340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340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204</v>
      </c>
      <c r="C117" s="5" t="s">
        <v>338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340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340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204</v>
      </c>
      <c r="C121" s="5" t="s">
        <v>338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340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340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340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340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204</v>
      </c>
      <c r="C129" s="5" t="s">
        <v>338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340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340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340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340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340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340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340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82</v>
      </c>
      <c r="C155" s="5" t="s">
        <v>338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340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0.47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gIF3gzcRwMevsVP9JM+eFJliWIfkjL6RYnVy29HH1zFwKTB/eJc1NVFGROY84dwrfqcI+B8KpOZ1waT1qDgCXQ==" saltValue="0Itsi1W8Rg+oXl6coWpo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53" sqref="D53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SSCu+FR+SN+siPEoAiap+3g3Z0SGqFtJklZqGSbEJvGKfBY2J7BHBpfevFvAYPx8Hf15tBeGKZdJ4ehQEpyLRg==" saltValue="A0PmMaoo+OfazXy7x4UxVw==" spinCount="100000" sheet="1" selectLockedCells="1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DB4B0A5FF4A85E5854FA9B1BD84" ma:contentTypeVersion="6" ma:contentTypeDescription="Create a new document." ma:contentTypeScope="" ma:versionID="107b52809c0cc4b5077f1ac81d3c69cc">
  <xsd:schema xmlns:xsd="http://www.w3.org/2001/XMLSchema" xmlns:xs="http://www.w3.org/2001/XMLSchema" xmlns:p="http://schemas.microsoft.com/office/2006/metadata/properties" xmlns:ns2="5de2aea6-bdc3-4e5f-b0ae-84d85b5764e4" targetNamespace="http://schemas.microsoft.com/office/2006/metadata/properties" ma:root="true" ma:fieldsID="82b7e1b740270cfb0676be859a78f3d0" ns2:_="">
    <xsd:import namespace="5de2aea6-bdc3-4e5f-b0ae-84d85b576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2aea6-bdc3-4e5f-b0ae-84d85b576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A67572-4391-48A6-9491-8FEAAFA3DBAB}"/>
</file>

<file path=customXml/itemProps2.xml><?xml version="1.0" encoding="utf-8"?>
<ds:datastoreItem xmlns:ds="http://schemas.openxmlformats.org/officeDocument/2006/customXml" ds:itemID="{3CC93E6A-CF9C-4373-9646-CD83EC87A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2024-03-26T04:24:49Z</dcterms:modified>
</cp:coreProperties>
</file>