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029943A-D7D4-4261-88E4-F3F642D70D6C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<sst xmlns="http://schemas.openxmlformats.org/spreadsheetml/2006/main" count="2092" uniqueCount="341">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</sst>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2974281.03125</v>
      </c>
    </row>
    <row r="8" spans="1:3" ht="15" customHeight="1" x14ac:dyDescent="0.25">
      <c r="B8" s="5" t="s">
        <v>8</v>
      </c>
      <c r="C8" s="44">
        <v>0.15</v>
      </c>
    </row>
    <row r="9" spans="1:3" ht="15" customHeight="1" x14ac:dyDescent="0.25">
      <c r="B9" s="5" t="s">
        <v>9</v>
      </c>
      <c r="C9" s="45">
        <v>2.5600000000000001E-2</v>
      </c>
    </row>
    <row r="10" spans="1:3" ht="15" customHeight="1" x14ac:dyDescent="0.25">
      <c r="B10" s="5" t="s">
        <v>10</v>
      </c>
      <c r="C10" s="45">
        <v>0.57262748718261702</v>
      </c>
    </row>
    <row r="11" spans="1:3" ht="15" customHeight="1" x14ac:dyDescent="0.25">
      <c r="B11" s="5" t="s">
        <v>11</v>
      </c>
      <c r="C11" s="45">
        <v>0.69400000000000006</v>
      </c>
    </row>
    <row r="12" spans="1:3" ht="15" customHeight="1" x14ac:dyDescent="0.25">
      <c r="B12" s="5" t="s">
        <v>12</v>
      </c>
      <c r="C12" s="45">
        <v>0.84900000000000009</v>
      </c>
    </row>
    <row r="13" spans="1:3" ht="15" customHeight="1" x14ac:dyDescent="0.25">
      <c r="B13" s="5" t="s">
        <v>13</v>
      </c>
      <c r="C13" s="45">
        <v>0.439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0.1673</v>
      </c>
    </row>
    <row r="24" spans="1:3" ht="15" customHeight="1" x14ac:dyDescent="0.25">
      <c r="B24" s="15" t="s">
        <v>22</v>
      </c>
      <c r="C24" s="45">
        <v>0.62609999999999999</v>
      </c>
    </row>
    <row r="25" spans="1:3" ht="15" customHeight="1" x14ac:dyDescent="0.25">
      <c r="B25" s="15" t="s">
        <v>23</v>
      </c>
      <c r="C25" s="45">
        <v>0.1709</v>
      </c>
    </row>
    <row r="26" spans="1:3" ht="15" customHeight="1" x14ac:dyDescent="0.25">
      <c r="B26" s="15" t="s">
        <v>24</v>
      </c>
      <c r="C26" s="45">
        <v>3.5700000000000003E-2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0.41227810089419697</v>
      </c>
    </row>
    <row r="30" spans="1:3" ht="14.25" customHeight="1" x14ac:dyDescent="0.25">
      <c r="B30" s="25" t="s">
        <v>27</v>
      </c>
      <c r="C30" s="99">
        <v>4.1696555750580601E-2</v>
      </c>
    </row>
    <row r="31" spans="1:3" ht="14.25" customHeight="1" x14ac:dyDescent="0.25">
      <c r="B31" s="25" t="s">
        <v>28</v>
      </c>
      <c r="C31" s="99">
        <v>7.5022305717839008E-2</v>
      </c>
    </row>
    <row r="32" spans="1:3" ht="14.25" customHeight="1" x14ac:dyDescent="0.25">
      <c r="B32" s="25" t="s">
        <v>29</v>
      </c>
      <c r="C32" s="99">
        <v>0.47100303763738299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16.166080000000001</v>
      </c>
    </row>
    <row r="38" spans="1:5" ht="15" customHeight="1" x14ac:dyDescent="0.25">
      <c r="B38" s="11" t="s">
        <v>34</v>
      </c>
      <c r="C38" s="43">
        <v>22.820869999999999</v>
      </c>
      <c r="D38" s="12"/>
      <c r="E38" s="13"/>
    </row>
    <row r="39" spans="1:5" ht="15" customHeight="1" x14ac:dyDescent="0.25">
      <c r="B39" s="11" t="s">
        <v>35</v>
      </c>
      <c r="C39" s="43">
        <v>27.16347</v>
      </c>
      <c r="D39" s="12"/>
      <c r="E39" s="12"/>
    </row>
    <row r="40" spans="1:5" ht="15" customHeight="1" x14ac:dyDescent="0.25">
      <c r="B40" s="11" t="s">
        <v>36</v>
      </c>
      <c r="C40" s="100">
        <v>1.74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15.72035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1.6335800000000001E-2</v>
      </c>
      <c r="D45" s="12"/>
    </row>
    <row r="46" spans="1:5" ht="15.75" customHeight="1" x14ac:dyDescent="0.25">
      <c r="B46" s="11" t="s">
        <v>41</v>
      </c>
      <c r="C46" s="45">
        <v>9.5621299999999992E-2</v>
      </c>
      <c r="D46" s="12"/>
    </row>
    <row r="47" spans="1:5" ht="15.75" customHeight="1" x14ac:dyDescent="0.25">
      <c r="B47" s="11" t="s">
        <v>42</v>
      </c>
      <c r="C47" s="45">
        <v>0.41425559999999989</v>
      </c>
      <c r="D47" s="12"/>
      <c r="E47" s="13"/>
    </row>
    <row r="48" spans="1:5" ht="15" customHeight="1" x14ac:dyDescent="0.25">
      <c r="B48" s="11" t="s">
        <v>43</v>
      </c>
      <c r="C48" s="46">
        <v>0.47378730000000002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0.50705099999999992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0.21813127999999901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9.7521911448720008E-2</v>
      </c>
      <c r="C2" s="98">
        <v>0.95</v>
      </c>
      <c r="D2" s="56">
        <v>36.247519202644909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44.666649407350029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72.912225149850372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1.223649899572512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14.191711276470389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14.191711276470389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14.191711276470389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14.191711276470389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14.191711276470389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14.191711276470389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8.9994845662715997E-2</v>
      </c>
      <c r="C16" s="98">
        <v>0.95</v>
      </c>
      <c r="D16" s="56">
        <v>0.2479965587591009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1.783669753024828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1.783669753024828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0.44971359999999999</v>
      </c>
      <c r="C21" s="98">
        <v>0.95</v>
      </c>
      <c r="D21" s="56">
        <v>9.0332234091804775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24.192824415868039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0.14526700000000001</v>
      </c>
      <c r="C23" s="98">
        <v>0.95</v>
      </c>
      <c r="D23" s="56">
        <v>4.6601859455142458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0.60409406024046997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0.17319645066372</v>
      </c>
      <c r="C27" s="98">
        <v>0.95</v>
      </c>
      <c r="D27" s="56">
        <v>20.497190899555481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0.38404090000000002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63.934132245620098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9.1000000000000004E-3</v>
      </c>
      <c r="C31" s="98">
        <v>0.95</v>
      </c>
      <c r="D31" s="56">
        <v>1.2528760783438719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0.53241950000000005</v>
      </c>
      <c r="C32" s="98">
        <v>0.95</v>
      </c>
      <c r="D32" s="56">
        <v>0.47412256872115971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0.80392700000000006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0.17940590000000001</v>
      </c>
      <c r="C38" s="98">
        <v>0.95</v>
      </c>
      <c r="D38" s="56">
        <v>2.060337016073285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0.48240959999999999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0.13516646000000002</v>
      </c>
      <c r="C3" s="21">
        <f>frac_mam_1_5months * 2.6</f>
        <v>0.13516646000000002</v>
      </c>
      <c r="D3" s="21">
        <f>frac_mam_6_11months * 2.6</f>
        <v>0.19205497999999999</v>
      </c>
      <c r="E3" s="21">
        <f>frac_mam_12_23months * 2.6</f>
        <v>0.21991554000000002</v>
      </c>
      <c r="F3" s="21">
        <f>frac_mam_24_59months * 2.6</f>
        <v>0.14174108000000002</v>
      </c>
    </row>
    <row r="4" spans="1:6" ht="15.75" customHeight="1" x14ac:dyDescent="0.25">
      <c r="A4" s="3" t="s">
        <v>205</v>
      </c>
      <c r="B4" s="21">
        <f>frac_sam_1month * 2.6</f>
        <v>3.0085900000000002E-2</v>
      </c>
      <c r="C4" s="21">
        <f>frac_sam_1_5months * 2.6</f>
        <v>3.0085900000000002E-2</v>
      </c>
      <c r="D4" s="21">
        <f>frac_sam_6_11months * 2.6</f>
        <v>2.8229500000000005E-2</v>
      </c>
      <c r="E4" s="21">
        <f>frac_sam_12_23months * 2.6</f>
        <v>2.9050580000000003E-2</v>
      </c>
      <c r="F4" s="21">
        <f>frac_sam_24_59months * 2.6</f>
        <v>1.6385719999999999E-2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0.15</v>
      </c>
      <c r="E2" s="60">
        <f>food_insecure</f>
        <v>0.15</v>
      </c>
      <c r="F2" s="60">
        <f>food_insecure</f>
        <v>0.15</v>
      </c>
      <c r="G2" s="60">
        <f>food_insecure</f>
        <v>0.15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0.15</v>
      </c>
      <c r="F5" s="60">
        <f>food_insecure</f>
        <v>0.15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0.15</v>
      </c>
      <c r="F8" s="60">
        <f>food_insecure</f>
        <v>0.15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0.15</v>
      </c>
      <c r="F9" s="60">
        <f>food_insecure</f>
        <v>0.15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0.84900000000000009</v>
      </c>
      <c r="E10" s="60">
        <f>IF(ISBLANK(comm_deliv), frac_children_health_facility,1)</f>
        <v>0.84900000000000009</v>
      </c>
      <c r="F10" s="60">
        <f>IF(ISBLANK(comm_deliv), frac_children_health_facility,1)</f>
        <v>0.84900000000000009</v>
      </c>
      <c r="G10" s="60">
        <f>IF(ISBLANK(comm_deliv), frac_children_health_facility,1)</f>
        <v>0.84900000000000009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0.15</v>
      </c>
      <c r="I15" s="60">
        <f>food_insecure</f>
        <v>0.15</v>
      </c>
      <c r="J15" s="60">
        <f>food_insecure</f>
        <v>0.15</v>
      </c>
      <c r="K15" s="60">
        <f>food_insecure</f>
        <v>0.15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0.69400000000000006</v>
      </c>
      <c r="I18" s="60">
        <f>frac_PW_health_facility</f>
        <v>0.69400000000000006</v>
      </c>
      <c r="J18" s="60">
        <f>frac_PW_health_facility</f>
        <v>0.69400000000000006</v>
      </c>
      <c r="K18" s="60">
        <f>frac_PW_health_facility</f>
        <v>0.69400000000000006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2.5600000000000001E-2</v>
      </c>
      <c r="I19" s="60">
        <f>frac_malaria_risk</f>
        <v>2.5600000000000001E-2</v>
      </c>
      <c r="J19" s="60">
        <f>frac_malaria_risk</f>
        <v>2.5600000000000001E-2</v>
      </c>
      <c r="K19" s="60">
        <f>frac_malaria_risk</f>
        <v>2.5600000000000001E-2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0.439</v>
      </c>
      <c r="M24" s="60">
        <f>famplan_unmet_need</f>
        <v>0.439</v>
      </c>
      <c r="N24" s="60">
        <f>famplan_unmet_need</f>
        <v>0.439</v>
      </c>
      <c r="O24" s="60">
        <f>famplan_unmet_need</f>
        <v>0.439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0.22287476543426521</v>
      </c>
      <c r="M25" s="60">
        <f>(1-food_insecure)*(0.49)+food_insecure*(0.7)</f>
        <v>0.52149999999999996</v>
      </c>
      <c r="N25" s="60">
        <f>(1-food_insecure)*(0.49)+food_insecure*(0.7)</f>
        <v>0.52149999999999996</v>
      </c>
      <c r="O25" s="60">
        <f>(1-food_insecure)*(0.49)+food_insecure*(0.7)</f>
        <v>0.52149999999999996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9.551775661468509E-2</v>
      </c>
      <c r="M26" s="60">
        <f>(1-food_insecure)*(0.21)+food_insecure*(0.3)</f>
        <v>0.22349999999999998</v>
      </c>
      <c r="N26" s="60">
        <f>(1-food_insecure)*(0.21)+food_insecure*(0.3)</f>
        <v>0.22349999999999998</v>
      </c>
      <c r="O26" s="60">
        <f>(1-food_insecure)*(0.21)+food_insecure*(0.3)</f>
        <v>0.22349999999999998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0.10897999076843266</v>
      </c>
      <c r="M27" s="60">
        <f>(1-food_insecure)*(0.3)</f>
        <v>0.255</v>
      </c>
      <c r="N27" s="60">
        <f>(1-food_insecure)*(0.3)</f>
        <v>0.255</v>
      </c>
      <c r="O27" s="60">
        <f>(1-food_insecure)*(0.3)</f>
        <v>0.255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0.57262748718261702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2.5600000000000001E-2</v>
      </c>
      <c r="D34" s="60">
        <f t="shared" si="3"/>
        <v>2.5600000000000001E-2</v>
      </c>
      <c r="E34" s="60">
        <f t="shared" si="3"/>
        <v>2.5600000000000001E-2</v>
      </c>
      <c r="F34" s="60">
        <f t="shared" si="3"/>
        <v>2.5600000000000001E-2</v>
      </c>
      <c r="G34" s="60">
        <f t="shared" si="3"/>
        <v>2.5600000000000001E-2</v>
      </c>
      <c r="H34" s="60">
        <f t="shared" si="3"/>
        <v>2.5600000000000001E-2</v>
      </c>
      <c r="I34" s="60">
        <f t="shared" si="3"/>
        <v>2.5600000000000001E-2</v>
      </c>
      <c r="J34" s="60">
        <f t="shared" si="3"/>
        <v>2.5600000000000001E-2</v>
      </c>
      <c r="K34" s="60">
        <f t="shared" si="3"/>
        <v>2.5600000000000001E-2</v>
      </c>
      <c r="L34" s="60">
        <f t="shared" si="3"/>
        <v>2.5600000000000001E-2</v>
      </c>
      <c r="M34" s="60">
        <f t="shared" si="3"/>
        <v>2.5600000000000001E-2</v>
      </c>
      <c r="N34" s="60">
        <f t="shared" si="3"/>
        <v>2.5600000000000001E-2</v>
      </c>
      <c r="O34" s="60">
        <f t="shared" si="3"/>
        <v>2.5600000000000001E-2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553056.7350000001</v>
      </c>
      <c r="C2" s="49">
        <v>1512000</v>
      </c>
      <c r="D2" s="49">
        <v>3032000</v>
      </c>
      <c r="E2" s="49">
        <v>2575000</v>
      </c>
      <c r="F2" s="49">
        <v>1980000</v>
      </c>
      <c r="G2" s="17">
        <f t="shared" ref="G2:G13" si="0">C2+D2+E2+F2</f>
        <v>9099000</v>
      </c>
      <c r="H2" s="17">
        <f t="shared" ref="H2:H13" si="1">(B2 + stillbirth*B2/(1000-stillbirth))/(1-abortion)</f>
        <v>638511.18175611994</v>
      </c>
      <c r="I2" s="17">
        <f t="shared" ref="I2:I13" si="2">G2-H2</f>
        <v>8460488.8182438798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548346.10400000005</v>
      </c>
      <c r="C3" s="50">
        <v>1484000</v>
      </c>
      <c r="D3" s="50">
        <v>3031000</v>
      </c>
      <c r="E3" s="50">
        <v>2627000</v>
      </c>
      <c r="F3" s="50">
        <v>2036000</v>
      </c>
      <c r="G3" s="17">
        <f t="shared" si="0"/>
        <v>9178000</v>
      </c>
      <c r="H3" s="17">
        <f t="shared" si="1"/>
        <v>633072.69710114691</v>
      </c>
      <c r="I3" s="17">
        <f t="shared" si="2"/>
        <v>8544927.302898854</v>
      </c>
    </row>
    <row r="4" spans="1:9" ht="15.75" customHeight="1" x14ac:dyDescent="0.25">
      <c r="A4" s="5">
        <f t="shared" si="3"/>
        <v>2026</v>
      </c>
      <c r="B4" s="49">
        <v>541440.38080000004</v>
      </c>
      <c r="C4" s="50">
        <v>1448000</v>
      </c>
      <c r="D4" s="50">
        <v>3032000</v>
      </c>
      <c r="E4" s="50">
        <v>2682000</v>
      </c>
      <c r="F4" s="50">
        <v>2091000</v>
      </c>
      <c r="G4" s="17">
        <f t="shared" si="0"/>
        <v>9253000</v>
      </c>
      <c r="H4" s="17">
        <f t="shared" si="1"/>
        <v>625099.9499989663</v>
      </c>
      <c r="I4" s="17">
        <f t="shared" si="2"/>
        <v>8627900.0500010345</v>
      </c>
    </row>
    <row r="5" spans="1:9" ht="15.75" customHeight="1" x14ac:dyDescent="0.25">
      <c r="A5" s="5">
        <f t="shared" si="3"/>
        <v>2027</v>
      </c>
      <c r="B5" s="49">
        <v>534171.14400000009</v>
      </c>
      <c r="C5" s="50">
        <v>1406000</v>
      </c>
      <c r="D5" s="50">
        <v>3022000</v>
      </c>
      <c r="E5" s="50">
        <v>2733000</v>
      </c>
      <c r="F5" s="50">
        <v>2148000</v>
      </c>
      <c r="G5" s="17">
        <f t="shared" si="0"/>
        <v>9309000</v>
      </c>
      <c r="H5" s="17">
        <f t="shared" si="1"/>
        <v>616707.52172552154</v>
      </c>
      <c r="I5" s="17">
        <f t="shared" si="2"/>
        <v>8692292.4782744776</v>
      </c>
    </row>
    <row r="6" spans="1:9" ht="15.75" customHeight="1" x14ac:dyDescent="0.25">
      <c r="A6" s="5">
        <f t="shared" si="3"/>
        <v>2028</v>
      </c>
      <c r="B6" s="49">
        <v>526548.40520000015</v>
      </c>
      <c r="C6" s="50">
        <v>1362000</v>
      </c>
      <c r="D6" s="50">
        <v>3000000</v>
      </c>
      <c r="E6" s="50">
        <v>2781000</v>
      </c>
      <c r="F6" s="50">
        <v>2202000</v>
      </c>
      <c r="G6" s="17">
        <f t="shared" si="0"/>
        <v>9345000</v>
      </c>
      <c r="H6" s="17">
        <f t="shared" si="1"/>
        <v>607906.97080300876</v>
      </c>
      <c r="I6" s="17">
        <f t="shared" si="2"/>
        <v>8737093.0291969907</v>
      </c>
    </row>
    <row r="7" spans="1:9" ht="15.75" customHeight="1" x14ac:dyDescent="0.25">
      <c r="A7" s="5">
        <f t="shared" si="3"/>
        <v>2029</v>
      </c>
      <c r="B7" s="49">
        <v>518550.67040000012</v>
      </c>
      <c r="C7" s="50">
        <v>1326000</v>
      </c>
      <c r="D7" s="50">
        <v>2966000</v>
      </c>
      <c r="E7" s="50">
        <v>2827000</v>
      </c>
      <c r="F7" s="50">
        <v>2257000</v>
      </c>
      <c r="G7" s="17">
        <f t="shared" si="0"/>
        <v>9376000</v>
      </c>
      <c r="H7" s="17">
        <f t="shared" si="1"/>
        <v>598673.4821293375</v>
      </c>
      <c r="I7" s="17">
        <f t="shared" si="2"/>
        <v>8777326.5178706627</v>
      </c>
    </row>
    <row r="8" spans="1:9" ht="15.75" customHeight="1" x14ac:dyDescent="0.25">
      <c r="A8" s="5">
        <f t="shared" si="3"/>
        <v>2030</v>
      </c>
      <c r="B8" s="49">
        <v>510190.17599999998</v>
      </c>
      <c r="C8" s="50">
        <v>1303000</v>
      </c>
      <c r="D8" s="50">
        <v>2921000</v>
      </c>
      <c r="E8" s="50">
        <v>2865000</v>
      </c>
      <c r="F8" s="50">
        <v>2312000</v>
      </c>
      <c r="G8" s="17">
        <f t="shared" si="0"/>
        <v>9401000</v>
      </c>
      <c r="H8" s="17">
        <f t="shared" si="1"/>
        <v>589021.18278719229</v>
      </c>
      <c r="I8" s="17">
        <f t="shared" si="2"/>
        <v>8811978.817212807</v>
      </c>
    </row>
    <row r="9" spans="1:9" ht="15.75" customHeight="1" x14ac:dyDescent="0.25">
      <c r="A9" s="5">
        <f t="shared" si="3"/>
        <v>2031</v>
      </c>
      <c r="B9" s="49">
        <v>504066.38185714278</v>
      </c>
      <c r="C9" s="50">
        <v>1273142.857142857</v>
      </c>
      <c r="D9" s="50">
        <v>2905142.8571428568</v>
      </c>
      <c r="E9" s="50">
        <v>2906428.5714285709</v>
      </c>
      <c r="F9" s="50">
        <v>2359428.5714285709</v>
      </c>
      <c r="G9" s="17">
        <f t="shared" si="0"/>
        <v>9444142.8571428545</v>
      </c>
      <c r="H9" s="17">
        <f t="shared" si="1"/>
        <v>581951.18293448829</v>
      </c>
      <c r="I9" s="17">
        <f t="shared" si="2"/>
        <v>8862191.6742083654</v>
      </c>
    </row>
    <row r="10" spans="1:9" ht="15.75" customHeight="1" x14ac:dyDescent="0.25">
      <c r="A10" s="5">
        <f t="shared" si="3"/>
        <v>2032</v>
      </c>
      <c r="B10" s="49">
        <v>497740.70726530609</v>
      </c>
      <c r="C10" s="50">
        <v>1243020.4081632651</v>
      </c>
      <c r="D10" s="50">
        <v>2887163.2653061231</v>
      </c>
      <c r="E10" s="50">
        <v>2946346.9387755101</v>
      </c>
      <c r="F10" s="50">
        <v>2405632.6530612251</v>
      </c>
      <c r="G10" s="17">
        <f t="shared" si="0"/>
        <v>9482163.2653061226</v>
      </c>
      <c r="H10" s="17">
        <f t="shared" si="1"/>
        <v>574648.1094821085</v>
      </c>
      <c r="I10" s="17">
        <f t="shared" si="2"/>
        <v>8907515.1558240149</v>
      </c>
    </row>
    <row r="11" spans="1:9" ht="15.75" customHeight="1" x14ac:dyDescent="0.25">
      <c r="A11" s="5">
        <f t="shared" si="3"/>
        <v>2033</v>
      </c>
      <c r="B11" s="49">
        <v>491497.8967603498</v>
      </c>
      <c r="C11" s="50">
        <v>1213737.609329446</v>
      </c>
      <c r="D11" s="50">
        <v>2866472.303206997</v>
      </c>
      <c r="E11" s="50">
        <v>2984110.787172012</v>
      </c>
      <c r="F11" s="50">
        <v>2450580.174927114</v>
      </c>
      <c r="G11" s="17">
        <f t="shared" si="0"/>
        <v>9514900.8746355698</v>
      </c>
      <c r="H11" s="17">
        <f t="shared" si="1"/>
        <v>567440.70369398606</v>
      </c>
      <c r="I11" s="17">
        <f t="shared" si="2"/>
        <v>8947460.1709415838</v>
      </c>
    </row>
    <row r="12" spans="1:9" ht="15.75" customHeight="1" x14ac:dyDescent="0.25">
      <c r="A12" s="5">
        <f t="shared" si="3"/>
        <v>2034</v>
      </c>
      <c r="B12" s="49">
        <v>485401.71858325688</v>
      </c>
      <c r="C12" s="50">
        <v>1186271.553519367</v>
      </c>
      <c r="D12" s="50">
        <v>2844254.0608079969</v>
      </c>
      <c r="E12" s="50">
        <v>3019983.7567680129</v>
      </c>
      <c r="F12" s="50">
        <v>2493805.9142024159</v>
      </c>
      <c r="G12" s="17">
        <f t="shared" si="0"/>
        <v>9544315.2852977924</v>
      </c>
      <c r="H12" s="17">
        <f t="shared" si="1"/>
        <v>560402.58683233801</v>
      </c>
      <c r="I12" s="17">
        <f t="shared" si="2"/>
        <v>8983912.6984654553</v>
      </c>
    </row>
    <row r="13" spans="1:9" ht="15.75" customHeight="1" x14ac:dyDescent="0.25">
      <c r="A13" s="5">
        <f t="shared" si="3"/>
        <v>2035</v>
      </c>
      <c r="B13" s="49">
        <v>479523.62049515068</v>
      </c>
      <c r="C13" s="50">
        <v>1161167.4897364189</v>
      </c>
      <c r="D13" s="50">
        <v>2822004.6409234251</v>
      </c>
      <c r="E13" s="50">
        <v>3054124.2934491578</v>
      </c>
      <c r="F13" s="50">
        <v>2535492.4733741889</v>
      </c>
      <c r="G13" s="17">
        <f t="shared" si="0"/>
        <v>9572788.8974831905</v>
      </c>
      <c r="H13" s="17">
        <f t="shared" si="1"/>
        <v>553616.24626509938</v>
      </c>
      <c r="I13" s="17">
        <f t="shared" si="2"/>
        <v>9019172.6512180902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0.61503260382981306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0.55701141075603078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0.86825104678715381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0.83836430539042961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0.86825104678715381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0.83836430539042961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0.41386517911901227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0.35721223755503662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0.8358616646267647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0.80031729315873468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0.8358616646267647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0.80031729315873468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0.91177473021914579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0.89051619054238118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0.9008573697140505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0.87732215596049568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0.9008573697140505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0.87732215596049568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0.88216579272962947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1.473504922066653E-2</v>
      </c>
    </row>
    <row r="4" spans="1:8" ht="15.75" customHeight="1" x14ac:dyDescent="0.25">
      <c r="B4" s="19" t="s">
        <v>69</v>
      </c>
      <c r="C4" s="101">
        <v>6.8189616093901534E-2</v>
      </c>
    </row>
    <row r="5" spans="1:8" ht="15.75" customHeight="1" x14ac:dyDescent="0.25">
      <c r="B5" s="19" t="s">
        <v>70</v>
      </c>
      <c r="C5" s="101">
        <v>0.1000974723100938</v>
      </c>
    </row>
    <row r="6" spans="1:8" ht="15.75" customHeight="1" x14ac:dyDescent="0.25">
      <c r="B6" s="19" t="s">
        <v>71</v>
      </c>
      <c r="C6" s="101">
        <v>0.26534518868097168</v>
      </c>
    </row>
    <row r="7" spans="1:8" ht="15.75" customHeight="1" x14ac:dyDescent="0.25">
      <c r="B7" s="19" t="s">
        <v>72</v>
      </c>
      <c r="C7" s="101">
        <v>0.29945329704313961</v>
      </c>
    </row>
    <row r="8" spans="1:8" ht="15.75" customHeight="1" x14ac:dyDescent="0.25">
      <c r="B8" s="19" t="s">
        <v>73</v>
      </c>
      <c r="C8" s="101">
        <v>1.967746635595265E-3</v>
      </c>
    </row>
    <row r="9" spans="1:8" ht="15.75" customHeight="1" x14ac:dyDescent="0.25">
      <c r="B9" s="19" t="s">
        <v>74</v>
      </c>
      <c r="C9" s="101">
        <v>0.1252214677487857</v>
      </c>
    </row>
    <row r="10" spans="1:8" ht="15.75" customHeight="1" x14ac:dyDescent="0.25">
      <c r="B10" s="19" t="s">
        <v>75</v>
      </c>
      <c r="C10" s="101">
        <v>0.12499016226684589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0.20180536611920741</v>
      </c>
      <c r="D14" s="55">
        <v>0.20180536611920741</v>
      </c>
      <c r="E14" s="55">
        <v>0.20180536611920741</v>
      </c>
      <c r="F14" s="55">
        <v>0.20180536611920741</v>
      </c>
    </row>
    <row r="15" spans="1:8" ht="15.75" customHeight="1" x14ac:dyDescent="0.25">
      <c r="B15" s="19" t="s">
        <v>82</v>
      </c>
      <c r="C15" s="101">
        <v>0.32507562913398969</v>
      </c>
      <c r="D15" s="101">
        <v>0.32507562913398969</v>
      </c>
      <c r="E15" s="101">
        <v>0.32507562913398969</v>
      </c>
      <c r="F15" s="101">
        <v>0.32507562913398969</v>
      </c>
    </row>
    <row r="16" spans="1:8" ht="15.75" customHeight="1" x14ac:dyDescent="0.25">
      <c r="B16" s="19" t="s">
        <v>83</v>
      </c>
      <c r="C16" s="101">
        <v>1.52583579249242E-2</v>
      </c>
      <c r="D16" s="101">
        <v>1.52583579249242E-2</v>
      </c>
      <c r="E16" s="101">
        <v>1.52583579249242E-2</v>
      </c>
      <c r="F16" s="101">
        <v>1.52583579249242E-2</v>
      </c>
    </row>
    <row r="17" spans="1:8" ht="15.75" customHeight="1" x14ac:dyDescent="0.25">
      <c r="B17" s="19" t="s">
        <v>84</v>
      </c>
      <c r="C17" s="101">
        <v>9.342367820145225E-3</v>
      </c>
      <c r="D17" s="101">
        <v>9.342367820145225E-3</v>
      </c>
      <c r="E17" s="101">
        <v>9.342367820145225E-3</v>
      </c>
      <c r="F17" s="101">
        <v>9.342367820145225E-3</v>
      </c>
    </row>
    <row r="18" spans="1:8" ht="15.75" customHeight="1" x14ac:dyDescent="0.25">
      <c r="B18" s="19" t="s">
        <v>85</v>
      </c>
      <c r="C18" s="101">
        <v>1.828073548493462E-4</v>
      </c>
      <c r="D18" s="101">
        <v>1.828073548493462E-4</v>
      </c>
      <c r="E18" s="101">
        <v>1.828073548493462E-4</v>
      </c>
      <c r="F18" s="101">
        <v>1.828073548493462E-4</v>
      </c>
    </row>
    <row r="19" spans="1:8" ht="15.75" customHeight="1" x14ac:dyDescent="0.25">
      <c r="B19" s="19" t="s">
        <v>86</v>
      </c>
      <c r="C19" s="101">
        <v>0.12748543941078561</v>
      </c>
      <c r="D19" s="101">
        <v>0.12748543941078561</v>
      </c>
      <c r="E19" s="101">
        <v>0.12748543941078561</v>
      </c>
      <c r="F19" s="101">
        <v>0.12748543941078561</v>
      </c>
    </row>
    <row r="20" spans="1:8" ht="15.75" customHeight="1" x14ac:dyDescent="0.25">
      <c r="B20" s="19" t="s">
        <v>87</v>
      </c>
      <c r="C20" s="101">
        <v>4.5226299892980569E-3</v>
      </c>
      <c r="D20" s="101">
        <v>4.5226299892980569E-3</v>
      </c>
      <c r="E20" s="101">
        <v>4.5226299892980569E-3</v>
      </c>
      <c r="F20" s="101">
        <v>4.5226299892980569E-3</v>
      </c>
    </row>
    <row r="21" spans="1:8" ht="15.75" customHeight="1" x14ac:dyDescent="0.25">
      <c r="B21" s="19" t="s">
        <v>88</v>
      </c>
      <c r="C21" s="101">
        <v>0.15939031250457769</v>
      </c>
      <c r="D21" s="101">
        <v>0.15939031250457769</v>
      </c>
      <c r="E21" s="101">
        <v>0.15939031250457769</v>
      </c>
      <c r="F21" s="101">
        <v>0.15939031250457769</v>
      </c>
    </row>
    <row r="22" spans="1:8" ht="15.75" customHeight="1" x14ac:dyDescent="0.25">
      <c r="B22" s="19" t="s">
        <v>89</v>
      </c>
      <c r="C22" s="101">
        <v>0.1569370897422229</v>
      </c>
      <c r="D22" s="101">
        <v>0.1569370897422229</v>
      </c>
      <c r="E22" s="101">
        <v>0.1569370897422229</v>
      </c>
      <c r="F22" s="101">
        <v>0.1569370897422229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4.7503243000000001E-2</v>
      </c>
    </row>
    <row r="27" spans="1:8" ht="15.75" customHeight="1" x14ac:dyDescent="0.25">
      <c r="B27" s="19" t="s">
        <v>92</v>
      </c>
      <c r="C27" s="101">
        <v>1.0367542E-2</v>
      </c>
    </row>
    <row r="28" spans="1:8" ht="15.75" customHeight="1" x14ac:dyDescent="0.25">
      <c r="B28" s="19" t="s">
        <v>93</v>
      </c>
      <c r="C28" s="101">
        <v>0.17293429099999999</v>
      </c>
    </row>
    <row r="29" spans="1:8" ht="15.75" customHeight="1" x14ac:dyDescent="0.25">
      <c r="B29" s="19" t="s">
        <v>94</v>
      </c>
      <c r="C29" s="101">
        <v>0.15789878800000001</v>
      </c>
    </row>
    <row r="30" spans="1:8" ht="15.75" customHeight="1" x14ac:dyDescent="0.25">
      <c r="B30" s="19" t="s">
        <v>95</v>
      </c>
      <c r="C30" s="101">
        <v>5.576656E-2</v>
      </c>
    </row>
    <row r="31" spans="1:8" ht="15.75" customHeight="1" x14ac:dyDescent="0.25">
      <c r="B31" s="19" t="s">
        <v>96</v>
      </c>
      <c r="C31" s="101">
        <v>6.3201558000000005E-2</v>
      </c>
    </row>
    <row r="32" spans="1:8" ht="15.75" customHeight="1" x14ac:dyDescent="0.25">
      <c r="B32" s="19" t="s">
        <v>97</v>
      </c>
      <c r="C32" s="101">
        <v>1.0057959E-2</v>
      </c>
    </row>
    <row r="33" spans="2:3" ht="15.75" customHeight="1" x14ac:dyDescent="0.25">
      <c r="B33" s="19" t="s">
        <v>98</v>
      </c>
      <c r="C33" s="101">
        <v>0.165459261</v>
      </c>
    </row>
    <row r="34" spans="2:3" ht="15.75" customHeight="1" x14ac:dyDescent="0.25">
      <c r="B34" s="19" t="s">
        <v>99</v>
      </c>
      <c r="C34" s="101">
        <v>0.316810798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0.45756976014314255</v>
      </c>
      <c r="D2" s="52">
        <f>IFERROR(1-_xlfn.NORM.DIST(_xlfn.NORM.INV(SUM(D4:D5), 0, 1) + 1, 0, 1, TRUE), "")</f>
        <v>0.45756976014314255</v>
      </c>
      <c r="E2" s="52">
        <f>IFERROR(1-_xlfn.NORM.DIST(_xlfn.NORM.INV(SUM(E4:E5), 0, 1) + 1, 0, 1, TRUE), "")</f>
        <v>0.60794556372930852</v>
      </c>
      <c r="F2" s="52">
        <f>IFERROR(1-_xlfn.NORM.DIST(_xlfn.NORM.INV(SUM(F4:F5), 0, 1) + 1, 0, 1, TRUE), "")</f>
        <v>0.32472323552934501</v>
      </c>
      <c r="G2" s="52">
        <f>IFERROR(1-_xlfn.NORM.DIST(_xlfn.NORM.INV(SUM(G4:G5), 0, 1) + 1, 0, 1, TRUE), "")</f>
        <v>0.35126204341792744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0.35661993985685747</v>
      </c>
      <c r="D3" s="52">
        <f>IFERROR(_xlfn.NORM.DIST(_xlfn.NORM.INV(SUM(D4:D5), 0, 1) + 1, 0, 1, TRUE) - SUM(D4:D5), "")</f>
        <v>0.35661993985685747</v>
      </c>
      <c r="E3" s="52">
        <f>IFERROR(_xlfn.NORM.DIST(_xlfn.NORM.INV(SUM(E4:E5), 0, 1) + 1, 0, 1, TRUE) - SUM(E4:E5), "")</f>
        <v>0.29071713627069151</v>
      </c>
      <c r="F3" s="52">
        <f>IFERROR(_xlfn.NORM.DIST(_xlfn.NORM.INV(SUM(F4:F5), 0, 1) + 1, 0, 1, TRUE) - SUM(F4:F5), "")</f>
        <v>0.38256116447065502</v>
      </c>
      <c r="G3" s="52">
        <f>IFERROR(_xlfn.NORM.DIST(_xlfn.NORM.INV(SUM(G4:G5), 0, 1) + 1, 0, 1, TRUE) - SUM(G4:G5), "")</f>
        <v>0.38047815658207257</v>
      </c>
    </row>
    <row r="4" spans="1:15" ht="15.75" customHeight="1" x14ac:dyDescent="0.25">
      <c r="B4" s="5" t="s">
        <v>104</v>
      </c>
      <c r="C4" s="45">
        <v>0.13256860000000001</v>
      </c>
      <c r="D4" s="53">
        <v>0.13256860000000001</v>
      </c>
      <c r="E4" s="53">
        <v>7.8875299999999995E-2</v>
      </c>
      <c r="F4" s="53">
        <v>0.2260142</v>
      </c>
      <c r="G4" s="53">
        <v>0.20418720000000001</v>
      </c>
    </row>
    <row r="5" spans="1:15" ht="15.75" customHeight="1" x14ac:dyDescent="0.25">
      <c r="B5" s="5" t="s">
        <v>105</v>
      </c>
      <c r="C5" s="45">
        <v>5.3241700000000003E-2</v>
      </c>
      <c r="D5" s="53">
        <v>5.3241700000000003E-2</v>
      </c>
      <c r="E5" s="53">
        <v>2.2461999999999999E-2</v>
      </c>
      <c r="F5" s="53">
        <v>6.6701399999999994E-2</v>
      </c>
      <c r="G5" s="53">
        <v>6.4072599999999993E-2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0.70040620196535208</v>
      </c>
      <c r="D8" s="52">
        <f>IFERROR(1-_xlfn.NORM.DIST(_xlfn.NORM.INV(SUM(D10:D11), 0, 1) + 1, 0, 1, TRUE), "")</f>
        <v>0.70040620196535208</v>
      </c>
      <c r="E8" s="52">
        <f>IFERROR(1-_xlfn.NORM.DIST(_xlfn.NORM.INV(SUM(E10:E11), 0, 1) + 1, 0, 1, TRUE), "")</f>
        <v>0.64578835488038822</v>
      </c>
      <c r="F8" s="52">
        <f>IFERROR(1-_xlfn.NORM.DIST(_xlfn.NORM.INV(SUM(F10:F11), 0, 1) + 1, 0, 1, TRUE), "")</f>
        <v>0.62024263484849929</v>
      </c>
      <c r="G8" s="52">
        <f>IFERROR(1-_xlfn.NORM.DIST(_xlfn.NORM.INV(SUM(G10:G11), 0, 1) + 1, 0, 1, TRUE), "")</f>
        <v>0.708134508364615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0.2360351980346479</v>
      </c>
      <c r="D9" s="52">
        <f>IFERROR(_xlfn.NORM.DIST(_xlfn.NORM.INV(SUM(D10:D11), 0, 1) + 1, 0, 1, TRUE) - SUM(D10:D11), "")</f>
        <v>0.2360351980346479</v>
      </c>
      <c r="E9" s="52">
        <f>IFERROR(_xlfn.NORM.DIST(_xlfn.NORM.INV(SUM(E10:E11), 0, 1) + 1, 0, 1, TRUE) - SUM(E10:E11), "")</f>
        <v>0.2694868451196118</v>
      </c>
      <c r="F9" s="52">
        <f>IFERROR(_xlfn.NORM.DIST(_xlfn.NORM.INV(SUM(F10:F11), 0, 1) + 1, 0, 1, TRUE) - SUM(F10:F11), "")</f>
        <v>0.2840011651515007</v>
      </c>
      <c r="G9" s="52">
        <f>IFERROR(_xlfn.NORM.DIST(_xlfn.NORM.INV(SUM(G10:G11), 0, 1) + 1, 0, 1, TRUE) - SUM(G10:G11), "")</f>
        <v>0.23104749163538499</v>
      </c>
    </row>
    <row r="10" spans="1:15" ht="15.75" customHeight="1" x14ac:dyDescent="0.25">
      <c r="B10" s="5" t="s">
        <v>109</v>
      </c>
      <c r="C10" s="45">
        <v>5.1987100000000001E-2</v>
      </c>
      <c r="D10" s="53">
        <v>5.1987100000000001E-2</v>
      </c>
      <c r="E10" s="53">
        <v>7.3867299999999997E-2</v>
      </c>
      <c r="F10" s="53">
        <v>8.4582900000000003E-2</v>
      </c>
      <c r="G10" s="53">
        <v>5.4515800000000003E-2</v>
      </c>
    </row>
    <row r="11" spans="1:15" ht="15.75" customHeight="1" x14ac:dyDescent="0.25">
      <c r="B11" s="5" t="s">
        <v>110</v>
      </c>
      <c r="C11" s="45">
        <v>1.15715E-2</v>
      </c>
      <c r="D11" s="53">
        <v>1.15715E-2</v>
      </c>
      <c r="E11" s="53">
        <v>1.0857500000000001E-2</v>
      </c>
      <c r="F11" s="53">
        <v>1.1173300000000001E-2</v>
      </c>
      <c r="G11" s="53">
        <v>6.3022E-3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0.82497910925000018</v>
      </c>
      <c r="D14" s="54">
        <v>0.80162762072500005</v>
      </c>
      <c r="E14" s="54">
        <v>0.80162762072500005</v>
      </c>
      <c r="F14" s="54">
        <v>0.47399307269000007</v>
      </c>
      <c r="G14" s="54">
        <v>0.47399307269000007</v>
      </c>
      <c r="H14" s="45">
        <v>0.4</v>
      </c>
      <c r="I14" s="55">
        <v>0.4</v>
      </c>
      <c r="J14" s="55">
        <v>0.4</v>
      </c>
      <c r="K14" s="55">
        <v>0.4</v>
      </c>
      <c r="L14" s="45">
        <v>0.34899999999999998</v>
      </c>
      <c r="M14" s="55">
        <v>0.34899999999999998</v>
      </c>
      <c r="N14" s="55">
        <v>0.34899999999999998</v>
      </c>
      <c r="O14" s="55">
        <v>0.34899999999999998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0.41830648232432177</v>
      </c>
      <c r="D15" s="52">
        <f t="shared" si="0"/>
        <v>0.40646608671623191</v>
      </c>
      <c r="E15" s="52">
        <f t="shared" si="0"/>
        <v>0.40646608671623191</v>
      </c>
      <c r="F15" s="52">
        <f t="shared" si="0"/>
        <v>0.24033866150053718</v>
      </c>
      <c r="G15" s="52">
        <f t="shared" si="0"/>
        <v>0.24033866150053718</v>
      </c>
      <c r="H15" s="52">
        <f t="shared" si="0"/>
        <v>0.20282039999999998</v>
      </c>
      <c r="I15" s="52">
        <f t="shared" si="0"/>
        <v>0.20282039999999998</v>
      </c>
      <c r="J15" s="52">
        <f t="shared" si="0"/>
        <v>0.20282039999999998</v>
      </c>
      <c r="K15" s="52">
        <f t="shared" si="0"/>
        <v>0.20282039999999998</v>
      </c>
      <c r="L15" s="52">
        <f t="shared" si="0"/>
        <v>0.17696079899999995</v>
      </c>
      <c r="M15" s="52">
        <f t="shared" si="0"/>
        <v>0.17696079899999995</v>
      </c>
      <c r="N15" s="52">
        <f t="shared" si="0"/>
        <v>0.17696079899999995</v>
      </c>
      <c r="O15" s="52">
        <f t="shared" si="0"/>
        <v>0.17696079899999995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0.70780940000000003</v>
      </c>
      <c r="D2" s="53">
        <v>0.53241950000000005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7.0640400000000006E-2</v>
      </c>
      <c r="D3" s="53">
        <v>0.14118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0.2215502</v>
      </c>
      <c r="D4" s="53">
        <v>0.31030289999999999</v>
      </c>
      <c r="E4" s="53">
        <v>0.96187520000000004</v>
      </c>
      <c r="F4" s="53">
        <v>0.95622889999999994</v>
      </c>
      <c r="G4" s="53">
        <v>0</v>
      </c>
    </row>
    <row r="5" spans="1:7" x14ac:dyDescent="0.25">
      <c r="B5" s="3" t="s">
        <v>122</v>
      </c>
      <c r="C5" s="52">
        <v>1.7358100000000001E-2</v>
      </c>
      <c r="D5" s="52">
        <v>1.60976E-2</v>
      </c>
      <c r="E5" s="52">
        <f>1-SUM(E2:E4)</f>
        <v>3.8124799999999959E-2</v>
      </c>
      <c r="F5" s="52">
        <f>1-SUM(F2:F4)</f>
        <v>4.3771100000000063E-2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0FC2F6-91B7-4B83-9F29-C7D2D36CD8AB}"/>
</file>

<file path=customXml/itemProps2.xml><?xml version="1.0" encoding="utf-8"?>
<ds:datastoreItem xmlns:ds="http://schemas.openxmlformats.org/officeDocument/2006/customXml" ds:itemID="{0B0233B0-34CD-4F74-9889-625C876B41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2024-03-26T04:24:57Z</dcterms:modified>
</cp:coreProperties>
</file>