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EC8A81DB-98CF-4298-B680-79DD82BD7AAE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<sst xmlns="http://schemas.openxmlformats.org/spreadsheetml/2006/main" count="2092" uniqueCount="341">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</sst>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104529.8681640625</v>
      </c>
    </row>
    <row r="8" spans="1:3" ht="15" customHeight="1" x14ac:dyDescent="0.25">
      <c r="B8" s="5" t="s">
        <v>8</v>
      </c>
      <c r="C8" s="44">
        <v>0.251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0.68900000000000006</v>
      </c>
    </row>
    <row r="12" spans="1:3" ht="15" customHeight="1" x14ac:dyDescent="0.25">
      <c r="B12" s="5" t="s">
        <v>12</v>
      </c>
      <c r="C12" s="45">
        <v>0.79</v>
      </c>
    </row>
    <row r="13" spans="1:3" ht="15" customHeight="1" x14ac:dyDescent="0.25">
      <c r="B13" s="5" t="s">
        <v>13</v>
      </c>
      <c r="C13" s="45">
        <v>0.62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7.0400000000000004E-2</v>
      </c>
    </row>
    <row r="24" spans="1:3" ht="15" customHeight="1" x14ac:dyDescent="0.25">
      <c r="B24" s="15" t="s">
        <v>22</v>
      </c>
      <c r="C24" s="45">
        <v>0.48080000000000001</v>
      </c>
    </row>
    <row r="25" spans="1:3" ht="15" customHeight="1" x14ac:dyDescent="0.25">
      <c r="B25" s="15" t="s">
        <v>23</v>
      </c>
      <c r="C25" s="45">
        <v>0.35560000000000003</v>
      </c>
    </row>
    <row r="26" spans="1:3" ht="15" customHeight="1" x14ac:dyDescent="0.25">
      <c r="B26" s="15" t="s">
        <v>24</v>
      </c>
      <c r="C26" s="45">
        <v>9.3200000000000005E-2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0.35185775257007201</v>
      </c>
    </row>
    <row r="30" spans="1:3" ht="14.25" customHeight="1" x14ac:dyDescent="0.25">
      <c r="B30" s="25" t="s">
        <v>27</v>
      </c>
      <c r="C30" s="99">
        <v>2.3858720907234902E-2</v>
      </c>
    </row>
    <row r="31" spans="1:3" ht="14.25" customHeight="1" x14ac:dyDescent="0.25">
      <c r="B31" s="25" t="s">
        <v>28</v>
      </c>
      <c r="C31" s="99">
        <v>3.4342930038455802E-2</v>
      </c>
    </row>
    <row r="32" spans="1:3" ht="14.25" customHeight="1" x14ac:dyDescent="0.25">
      <c r="B32" s="25" t="s">
        <v>29</v>
      </c>
      <c r="C32" s="99">
        <v>0.58994059648423802</v>
      </c>
    </row>
    <row r="33" spans="1:5" ht="13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7.5990799999999998</v>
      </c>
    </row>
    <row r="38" spans="1:5" ht="15" customHeight="1" x14ac:dyDescent="0.25">
      <c r="B38" s="11" t="s">
        <v>34</v>
      </c>
      <c r="C38" s="43">
        <v>16.091200000000001</v>
      </c>
      <c r="D38" s="12"/>
      <c r="E38" s="13"/>
    </row>
    <row r="39" spans="1:5" ht="15" customHeight="1" x14ac:dyDescent="0.25">
      <c r="B39" s="11" t="s">
        <v>35</v>
      </c>
      <c r="C39" s="43">
        <v>18.785260000000001</v>
      </c>
      <c r="D39" s="12"/>
      <c r="E39" s="12"/>
    </row>
    <row r="40" spans="1:5" ht="15" customHeight="1" x14ac:dyDescent="0.25">
      <c r="B40" s="11" t="s">
        <v>36</v>
      </c>
      <c r="C40" s="100">
        <v>1.22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9.1973199999999995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6.1345000000000002E-3</v>
      </c>
      <c r="D45" s="12"/>
    </row>
    <row r="46" spans="1:5" ht="15.75" customHeight="1" x14ac:dyDescent="0.25">
      <c r="B46" s="11" t="s">
        <v>41</v>
      </c>
      <c r="C46" s="45">
        <v>6.5914E-2</v>
      </c>
      <c r="D46" s="12"/>
    </row>
    <row r="47" spans="1:5" ht="15.75" customHeight="1" x14ac:dyDescent="0.25">
      <c r="B47" s="11" t="s">
        <v>42</v>
      </c>
      <c r="C47" s="45">
        <v>7.5167600000000001E-2</v>
      </c>
      <c r="D47" s="12"/>
      <c r="E47" s="13"/>
    </row>
    <row r="48" spans="1:5" ht="15" customHeight="1" x14ac:dyDescent="0.25">
      <c r="B48" s="11" t="s">
        <v>43</v>
      </c>
      <c r="C48" s="46">
        <v>0.85278390000000004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0.54101599999999994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0.12102570980000001</v>
      </c>
      <c r="C2" s="98">
        <v>0.95</v>
      </c>
      <c r="D2" s="56">
        <v>44.388781579401957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44.84912601313826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200.54836433279559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0.94987178533966066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14.37418788225863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14.37418788225863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14.37418788225863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14.37418788225863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14.37418788225863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14.37418788225863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0.19753357399999999</v>
      </c>
      <c r="C16" s="98">
        <v>0.95</v>
      </c>
      <c r="D16" s="56">
        <v>0.42998861651827419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4.6877241811456267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4.6877241811456267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0.29399999999999998</v>
      </c>
      <c r="C21" s="98">
        <v>0.95</v>
      </c>
      <c r="D21" s="56">
        <v>8.3654863902487371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24.603396778891561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4.7742338241318913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0.63233048449999996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0.15517359280000001</v>
      </c>
      <c r="C27" s="98">
        <v>0.95</v>
      </c>
      <c r="D27" s="56">
        <v>20.640466451977151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0.377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82.515341030888564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4.6956398181241168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0.88473850018384426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0.35018290000000002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7.400000000000001E-2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5.5596741637734697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0.36899999999999999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0.21548583178571412</v>
      </c>
      <c r="C3" s="21">
        <f>frac_mam_1_5months * 2.6</f>
        <v>0.21548583178571412</v>
      </c>
      <c r="D3" s="21">
        <f>frac_mam_6_11months * 2.6</f>
        <v>0.22118084392857157</v>
      </c>
      <c r="E3" s="21">
        <f>frac_mam_12_23months * 2.6</f>
        <v>0.21263177000000003</v>
      </c>
      <c r="F3" s="21">
        <f>frac_mam_24_59months * 2.6</f>
        <v>0.16060133607142846</v>
      </c>
    </row>
    <row r="4" spans="1:6" ht="15.75" customHeight="1" x14ac:dyDescent="0.25">
      <c r="A4" s="3" t="s">
        <v>205</v>
      </c>
      <c r="B4" s="21">
        <f>frac_sam_1month * 2.6</f>
        <v>0.13967873678571435</v>
      </c>
      <c r="C4" s="21">
        <f>frac_sam_1_5months * 2.6</f>
        <v>0.13967873678571435</v>
      </c>
      <c r="D4" s="21">
        <f>frac_sam_6_11months * 2.6</f>
        <v>0.103009855</v>
      </c>
      <c r="E4" s="21">
        <f>frac_sam_12_23months * 2.6</f>
        <v>8.6590799285714365E-2</v>
      </c>
      <c r="F4" s="21">
        <f>frac_sam_24_59months * 2.6</f>
        <v>5.4946120357142823E-2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0.251</v>
      </c>
      <c r="E2" s="60">
        <f>food_insecure</f>
        <v>0.251</v>
      </c>
      <c r="F2" s="60">
        <f>food_insecure</f>
        <v>0.251</v>
      </c>
      <c r="G2" s="60">
        <f>food_insecure</f>
        <v>0.251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0.251</v>
      </c>
      <c r="F5" s="60">
        <f>food_insecure</f>
        <v>0.251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0.251</v>
      </c>
      <c r="F8" s="60">
        <f>food_insecure</f>
        <v>0.251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0.251</v>
      </c>
      <c r="F9" s="60">
        <f>food_insecure</f>
        <v>0.251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0.79</v>
      </c>
      <c r="E10" s="60">
        <f>IF(ISBLANK(comm_deliv), frac_children_health_facility,1)</f>
        <v>0.79</v>
      </c>
      <c r="F10" s="60">
        <f>IF(ISBLANK(comm_deliv), frac_children_health_facility,1)</f>
        <v>0.79</v>
      </c>
      <c r="G10" s="60">
        <f>IF(ISBLANK(comm_deliv), frac_children_health_facility,1)</f>
        <v>0.79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0.251</v>
      </c>
      <c r="I15" s="60">
        <f>food_insecure</f>
        <v>0.251</v>
      </c>
      <c r="J15" s="60">
        <f>food_insecure</f>
        <v>0.251</v>
      </c>
      <c r="K15" s="60">
        <f>food_insecure</f>
        <v>0.251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0.68900000000000006</v>
      </c>
      <c r="I18" s="60">
        <f>frac_PW_health_facility</f>
        <v>0.68900000000000006</v>
      </c>
      <c r="J18" s="60">
        <f>frac_PW_health_facility</f>
        <v>0.68900000000000006</v>
      </c>
      <c r="K18" s="60">
        <f>frac_PW_health_facility</f>
        <v>0.68900000000000006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</v>
      </c>
      <c r="M24" s="60">
        <f>famplan_unmet_need</f>
        <v>0.62</v>
      </c>
      <c r="N24" s="60">
        <f>famplan_unmet_need</f>
        <v>0.62</v>
      </c>
      <c r="O24" s="60">
        <f>famplan_unmet_need</f>
        <v>0.62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0.10089684944001601</v>
      </c>
      <c r="M25" s="60">
        <f>(1-food_insecure)*(0.49)+food_insecure*(0.7)</f>
        <v>0.54271000000000003</v>
      </c>
      <c r="N25" s="60">
        <f>(1-food_insecure)*(0.49)+food_insecure*(0.7)</f>
        <v>0.54271000000000003</v>
      </c>
      <c r="O25" s="60">
        <f>(1-food_insecure)*(0.49)+food_insecure*(0.7)</f>
        <v>0.54271000000000003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4.3241506902863998E-2</v>
      </c>
      <c r="M26" s="60">
        <f>(1-food_insecure)*(0.21)+food_insecure*(0.3)</f>
        <v>0.23258999999999996</v>
      </c>
      <c r="N26" s="60">
        <f>(1-food_insecure)*(0.21)+food_insecure*(0.3)</f>
        <v>0.23258999999999996</v>
      </c>
      <c r="O26" s="60">
        <f>(1-food_insecure)*(0.21)+food_insecure*(0.3)</f>
        <v>0.23258999999999996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4.1774653257120001E-2</v>
      </c>
      <c r="M27" s="60">
        <f>(1-food_insecure)*(0.3)</f>
        <v>0.22469999999999998</v>
      </c>
      <c r="N27" s="60">
        <f>(1-food_insecure)*(0.3)</f>
        <v>0.22469999999999998</v>
      </c>
      <c r="O27" s="60">
        <f>(1-food_insecure)*(0.3)</f>
        <v>0.22469999999999998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0.8140869904000001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17899.171200000001</v>
      </c>
      <c r="C2" s="49">
        <v>37000</v>
      </c>
      <c r="D2" s="49">
        <v>59000</v>
      </c>
      <c r="E2" s="49">
        <v>1012000</v>
      </c>
      <c r="F2" s="49">
        <v>645000</v>
      </c>
      <c r="G2" s="17">
        <f t="shared" ref="G2:G13" si="0">C2+D2+E2+F2</f>
        <v>1753000</v>
      </c>
      <c r="H2" s="17">
        <f t="shared" ref="H2:H13" si="1">(B2 + stillbirth*B2/(1000-stillbirth))/(1-abortion)</f>
        <v>20528.777004042091</v>
      </c>
      <c r="I2" s="17">
        <f t="shared" ref="I2:I13" si="2">G2-H2</f>
        <v>1732471.2229959578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18024.198</v>
      </c>
      <c r="C3" s="50">
        <v>37000</v>
      </c>
      <c r="D3" s="50">
        <v>61000</v>
      </c>
      <c r="E3" s="50">
        <v>1052000</v>
      </c>
      <c r="F3" s="50">
        <v>667000</v>
      </c>
      <c r="G3" s="17">
        <f t="shared" si="0"/>
        <v>1817000</v>
      </c>
      <c r="H3" s="17">
        <f t="shared" si="1"/>
        <v>20672.171760595338</v>
      </c>
      <c r="I3" s="17">
        <f t="shared" si="2"/>
        <v>1796327.8282394046</v>
      </c>
    </row>
    <row r="4" spans="1:9" ht="15.75" customHeight="1" x14ac:dyDescent="0.25">
      <c r="A4" s="5">
        <f t="shared" si="3"/>
        <v>2026</v>
      </c>
      <c r="B4" s="49">
        <v>18169.488399999998</v>
      </c>
      <c r="C4" s="50">
        <v>38000</v>
      </c>
      <c r="D4" s="50">
        <v>63000</v>
      </c>
      <c r="E4" s="50">
        <v>1093000</v>
      </c>
      <c r="F4" s="50">
        <v>693000</v>
      </c>
      <c r="G4" s="17">
        <f t="shared" si="0"/>
        <v>1887000</v>
      </c>
      <c r="H4" s="17">
        <f t="shared" si="1"/>
        <v>20838.807086281708</v>
      </c>
      <c r="I4" s="17">
        <f t="shared" si="2"/>
        <v>1866161.1929137183</v>
      </c>
    </row>
    <row r="5" spans="1:9" ht="15.75" customHeight="1" x14ac:dyDescent="0.25">
      <c r="A5" s="5">
        <f t="shared" si="3"/>
        <v>2027</v>
      </c>
      <c r="B5" s="49">
        <v>18334.439200000001</v>
      </c>
      <c r="C5" s="50">
        <v>38000</v>
      </c>
      <c r="D5" s="50">
        <v>64000</v>
      </c>
      <c r="E5" s="50">
        <v>1136000</v>
      </c>
      <c r="F5" s="50">
        <v>719000</v>
      </c>
      <c r="G5" s="17">
        <f t="shared" si="0"/>
        <v>1957000</v>
      </c>
      <c r="H5" s="17">
        <f t="shared" si="1"/>
        <v>21027.991163689629</v>
      </c>
      <c r="I5" s="17">
        <f t="shared" si="2"/>
        <v>1935972.0088363104</v>
      </c>
    </row>
    <row r="6" spans="1:9" ht="15.75" customHeight="1" x14ac:dyDescent="0.25">
      <c r="A6" s="5">
        <f t="shared" si="3"/>
        <v>2028</v>
      </c>
      <c r="B6" s="49">
        <v>18493.628400000001</v>
      </c>
      <c r="C6" s="50">
        <v>38000</v>
      </c>
      <c r="D6" s="50">
        <v>65000</v>
      </c>
      <c r="E6" s="50">
        <v>1180000</v>
      </c>
      <c r="F6" s="50">
        <v>748000</v>
      </c>
      <c r="G6" s="17">
        <f t="shared" si="0"/>
        <v>2031000</v>
      </c>
      <c r="H6" s="17">
        <f t="shared" si="1"/>
        <v>21210.567192028404</v>
      </c>
      <c r="I6" s="17">
        <f t="shared" si="2"/>
        <v>2009789.4328079715</v>
      </c>
    </row>
    <row r="7" spans="1:9" ht="15.75" customHeight="1" x14ac:dyDescent="0.25">
      <c r="A7" s="5">
        <f t="shared" si="3"/>
        <v>2029</v>
      </c>
      <c r="B7" s="49">
        <v>18647.056</v>
      </c>
      <c r="C7" s="50">
        <v>39000</v>
      </c>
      <c r="D7" s="50">
        <v>67000</v>
      </c>
      <c r="E7" s="50">
        <v>1225000</v>
      </c>
      <c r="F7" s="50">
        <v>778000</v>
      </c>
      <c r="G7" s="17">
        <f t="shared" si="0"/>
        <v>2109000</v>
      </c>
      <c r="H7" s="17">
        <f t="shared" si="1"/>
        <v>21386.535171298048</v>
      </c>
      <c r="I7" s="17">
        <f t="shared" si="2"/>
        <v>2087613.4648287019</v>
      </c>
    </row>
    <row r="8" spans="1:9" ht="15.75" customHeight="1" x14ac:dyDescent="0.25">
      <c r="A8" s="5">
        <f t="shared" si="3"/>
        <v>2030</v>
      </c>
      <c r="B8" s="49">
        <v>18794.722000000002</v>
      </c>
      <c r="C8" s="50">
        <v>39000</v>
      </c>
      <c r="D8" s="50">
        <v>68000</v>
      </c>
      <c r="E8" s="50">
        <v>1271000</v>
      </c>
      <c r="F8" s="50">
        <v>810000</v>
      </c>
      <c r="G8" s="17">
        <f t="shared" si="0"/>
        <v>2188000</v>
      </c>
      <c r="H8" s="17">
        <f t="shared" si="1"/>
        <v>21555.895101498551</v>
      </c>
      <c r="I8" s="17">
        <f t="shared" si="2"/>
        <v>2166444.1048985017</v>
      </c>
    </row>
    <row r="9" spans="1:9" ht="15.75" customHeight="1" x14ac:dyDescent="0.25">
      <c r="A9" s="5">
        <f t="shared" si="3"/>
        <v>2031</v>
      </c>
      <c r="B9" s="49">
        <v>18922.657828571431</v>
      </c>
      <c r="C9" s="50">
        <v>39285.714285714283</v>
      </c>
      <c r="D9" s="50">
        <v>69285.71428571429</v>
      </c>
      <c r="E9" s="50">
        <v>1308000</v>
      </c>
      <c r="F9" s="50">
        <v>833571.42857142852</v>
      </c>
      <c r="G9" s="17">
        <f t="shared" si="0"/>
        <v>2250142.8571428573</v>
      </c>
      <c r="H9" s="17">
        <f t="shared" si="1"/>
        <v>21702.626258278051</v>
      </c>
      <c r="I9" s="17">
        <f t="shared" si="2"/>
        <v>2228440.230884579</v>
      </c>
    </row>
    <row r="10" spans="1:9" ht="15.75" customHeight="1" x14ac:dyDescent="0.25">
      <c r="A10" s="5">
        <f t="shared" si="3"/>
        <v>2032</v>
      </c>
      <c r="B10" s="49">
        <v>19051.009232653061</v>
      </c>
      <c r="C10" s="50">
        <v>39612.244897959179</v>
      </c>
      <c r="D10" s="50">
        <v>70469.387755102041</v>
      </c>
      <c r="E10" s="50">
        <v>1344571.4285714291</v>
      </c>
      <c r="F10" s="50">
        <v>857367.3469387755</v>
      </c>
      <c r="G10" s="17">
        <f t="shared" si="0"/>
        <v>2312020.4081632658</v>
      </c>
      <c r="H10" s="17">
        <f t="shared" si="1"/>
        <v>21849.834043661293</v>
      </c>
      <c r="I10" s="17">
        <f t="shared" si="2"/>
        <v>2290170.5741196047</v>
      </c>
    </row>
    <row r="11" spans="1:9" ht="15.75" customHeight="1" x14ac:dyDescent="0.25">
      <c r="A11" s="5">
        <f t="shared" si="3"/>
        <v>2033</v>
      </c>
      <c r="B11" s="49">
        <v>19176.940780174929</v>
      </c>
      <c r="C11" s="50">
        <v>39842.565597667643</v>
      </c>
      <c r="D11" s="50">
        <v>71536.443148688049</v>
      </c>
      <c r="E11" s="50">
        <v>1380510.2040816329</v>
      </c>
      <c r="F11" s="50">
        <v>880848.39650145767</v>
      </c>
      <c r="G11" s="17">
        <f t="shared" si="0"/>
        <v>2372737.6093294462</v>
      </c>
      <c r="H11" s="17">
        <f t="shared" si="1"/>
        <v>21994.266466144087</v>
      </c>
      <c r="I11" s="17">
        <f t="shared" si="2"/>
        <v>2350743.3428633022</v>
      </c>
    </row>
    <row r="12" spans="1:9" ht="15.75" customHeight="1" x14ac:dyDescent="0.25">
      <c r="A12" s="5">
        <f t="shared" si="3"/>
        <v>2034</v>
      </c>
      <c r="B12" s="49">
        <v>19297.298148771351</v>
      </c>
      <c r="C12" s="50">
        <v>40105.789254477299</v>
      </c>
      <c r="D12" s="50">
        <v>72613.077884214916</v>
      </c>
      <c r="E12" s="50">
        <v>1415440.233236152</v>
      </c>
      <c r="F12" s="50">
        <v>903969.59600166592</v>
      </c>
      <c r="G12" s="17">
        <f t="shared" si="0"/>
        <v>2432128.69637651</v>
      </c>
      <c r="H12" s="17">
        <f t="shared" si="1"/>
        <v>22132.30579506616</v>
      </c>
      <c r="I12" s="17">
        <f t="shared" si="2"/>
        <v>2409996.3905814439</v>
      </c>
    </row>
    <row r="13" spans="1:9" ht="15.75" customHeight="1" x14ac:dyDescent="0.25">
      <c r="A13" s="5">
        <f t="shared" si="3"/>
        <v>2035</v>
      </c>
      <c r="B13" s="49">
        <v>19412.108112881539</v>
      </c>
      <c r="C13" s="50">
        <v>40406.616290831204</v>
      </c>
      <c r="D13" s="50">
        <v>73700.660439102765</v>
      </c>
      <c r="E13" s="50">
        <v>1449074.5522698869</v>
      </c>
      <c r="F13" s="50">
        <v>926250.96685904672</v>
      </c>
      <c r="G13" s="17">
        <f t="shared" si="0"/>
        <v>2489432.7958588675</v>
      </c>
      <c r="H13" s="17">
        <f t="shared" si="1"/>
        <v>22263.982738357259</v>
      </c>
      <c r="I13" s="17">
        <f t="shared" si="2"/>
        <v>2467168.8131205104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0.58868539542060538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0.53563856384276287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0.85515264784850797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0.82633361111851122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0.85515264784850797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0.82633361111851122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0.38746212453399753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0.3376621809254382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0.82020993116114049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0.78617698802105751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0.82020993116114049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0.78617698802105751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0.90251760638280187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0.88182002386798231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0.89059218631972226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0.86773365807130454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0.89059218631972226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0.86773365807130454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0.87664980880720367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3.6933821655645701E-3</v>
      </c>
    </row>
    <row r="4" spans="1:8" ht="15.75" customHeight="1" x14ac:dyDescent="0.25">
      <c r="B4" s="19" t="s">
        <v>69</v>
      </c>
      <c r="C4" s="101">
        <v>4.9979711487722067E-2</v>
      </c>
    </row>
    <row r="5" spans="1:8" ht="15.75" customHeight="1" x14ac:dyDescent="0.25">
      <c r="B5" s="19" t="s">
        <v>70</v>
      </c>
      <c r="C5" s="101">
        <v>1.6129802394131899E-2</v>
      </c>
    </row>
    <row r="6" spans="1:8" ht="15.75" customHeight="1" x14ac:dyDescent="0.25">
      <c r="B6" s="19" t="s">
        <v>71</v>
      </c>
      <c r="C6" s="101">
        <v>0.160163230930564</v>
      </c>
    </row>
    <row r="7" spans="1:8" ht="15.75" customHeight="1" x14ac:dyDescent="0.25">
      <c r="B7" s="19" t="s">
        <v>72</v>
      </c>
      <c r="C7" s="101">
        <v>0.48515151015483848</v>
      </c>
    </row>
    <row r="8" spans="1:8" ht="15.75" customHeight="1" x14ac:dyDescent="0.25">
      <c r="B8" s="19" t="s">
        <v>73</v>
      </c>
      <c r="C8" s="101">
        <v>2.1136541039387551E-2</v>
      </c>
    </row>
    <row r="9" spans="1:8" ht="15.75" customHeight="1" x14ac:dyDescent="0.25">
      <c r="B9" s="19" t="s">
        <v>74</v>
      </c>
      <c r="C9" s="101">
        <v>0.2127465899819434</v>
      </c>
    </row>
    <row r="10" spans="1:8" ht="15.75" customHeight="1" x14ac:dyDescent="0.25">
      <c r="B10" s="19" t="s">
        <v>75</v>
      </c>
      <c r="C10" s="101">
        <v>5.099923184584803E-2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0.14274685422427991</v>
      </c>
      <c r="D14" s="55">
        <v>0.14274685422427991</v>
      </c>
      <c r="E14" s="55">
        <v>0.14274685422427991</v>
      </c>
      <c r="F14" s="55">
        <v>0.14274685422427991</v>
      </c>
    </row>
    <row r="15" spans="1:8" ht="15.75" customHeight="1" x14ac:dyDescent="0.25">
      <c r="B15" s="19" t="s">
        <v>82</v>
      </c>
      <c r="C15" s="101">
        <v>0.34209094123956019</v>
      </c>
      <c r="D15" s="101">
        <v>0.34209094123956019</v>
      </c>
      <c r="E15" s="101">
        <v>0.34209094123956019</v>
      </c>
      <c r="F15" s="101">
        <v>0.34209094123956019</v>
      </c>
    </row>
    <row r="16" spans="1:8" ht="15.75" customHeight="1" x14ac:dyDescent="0.25">
      <c r="B16" s="19" t="s">
        <v>83</v>
      </c>
      <c r="C16" s="101">
        <v>7.7668022360367957E-3</v>
      </c>
      <c r="D16" s="101">
        <v>7.7668022360367957E-3</v>
      </c>
      <c r="E16" s="101">
        <v>7.7668022360367957E-3</v>
      </c>
      <c r="F16" s="101">
        <v>7.7668022360367957E-3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0.37355827260013791</v>
      </c>
      <c r="D18" s="101">
        <v>0.37355827260013791</v>
      </c>
      <c r="E18" s="101">
        <v>0.37355827260013791</v>
      </c>
      <c r="F18" s="101">
        <v>0.37355827260013791</v>
      </c>
    </row>
    <row r="19" spans="1:8" ht="15.75" customHeight="1" x14ac:dyDescent="0.25">
      <c r="B19" s="19" t="s">
        <v>86</v>
      </c>
      <c r="C19" s="101">
        <v>1.9589949234814299E-2</v>
      </c>
      <c r="D19" s="101">
        <v>1.9589949234814299E-2</v>
      </c>
      <c r="E19" s="101">
        <v>1.9589949234814299E-2</v>
      </c>
      <c r="F19" s="101">
        <v>1.9589949234814299E-2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7.7731886989490975E-2</v>
      </c>
      <c r="D21" s="101">
        <v>7.7731886989490975E-2</v>
      </c>
      <c r="E21" s="101">
        <v>7.7731886989490975E-2</v>
      </c>
      <c r="F21" s="101">
        <v>7.7731886989490975E-2</v>
      </c>
    </row>
    <row r="22" spans="1:8" ht="15.75" customHeight="1" x14ac:dyDescent="0.25">
      <c r="B22" s="19" t="s">
        <v>89</v>
      </c>
      <c r="C22" s="101">
        <v>3.6515293475680291E-2</v>
      </c>
      <c r="D22" s="101">
        <v>3.6515293475680291E-2</v>
      </c>
      <c r="E22" s="101">
        <v>3.6515293475680291E-2</v>
      </c>
      <c r="F22" s="101">
        <v>3.6515293475680291E-2</v>
      </c>
    </row>
    <row r="23" spans="1:8" ht="15.75" customHeight="1" x14ac:dyDescent="0.25">
      <c r="B23" s="27" t="s">
        <v>30</v>
      </c>
      <c r="C23" s="48">
        <f>SUM(C14:C22)</f>
        <v>1.0000000000000004</v>
      </c>
      <c r="D23" s="48">
        <f>SUM(D14:D22)</f>
        <v>1.0000000000000004</v>
      </c>
      <c r="E23" s="48">
        <f>SUM(E14:E22)</f>
        <v>1.0000000000000004</v>
      </c>
      <c r="F23" s="48">
        <f>SUM(F14:F22)</f>
        <v>1.0000000000000004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4.7769731000000003E-2</v>
      </c>
    </row>
    <row r="27" spans="1:8" ht="15.75" customHeight="1" x14ac:dyDescent="0.25">
      <c r="B27" s="19" t="s">
        <v>92</v>
      </c>
      <c r="C27" s="101">
        <v>1.8843999E-2</v>
      </c>
    </row>
    <row r="28" spans="1:8" ht="15.75" customHeight="1" x14ac:dyDescent="0.25">
      <c r="B28" s="19" t="s">
        <v>93</v>
      </c>
      <c r="C28" s="101">
        <v>0.22958879300000001</v>
      </c>
    </row>
    <row r="29" spans="1:8" ht="15.75" customHeight="1" x14ac:dyDescent="0.25">
      <c r="B29" s="19" t="s">
        <v>94</v>
      </c>
      <c r="C29" s="101">
        <v>0.13888713499999999</v>
      </c>
    </row>
    <row r="30" spans="1:8" ht="15.75" customHeight="1" x14ac:dyDescent="0.25">
      <c r="B30" s="19" t="s">
        <v>95</v>
      </c>
      <c r="C30" s="101">
        <v>5.0046261000000002E-2</v>
      </c>
    </row>
    <row r="31" spans="1:8" ht="15.75" customHeight="1" x14ac:dyDescent="0.25">
      <c r="B31" s="19" t="s">
        <v>96</v>
      </c>
      <c r="C31" s="101">
        <v>7.1139825000000018E-2</v>
      </c>
    </row>
    <row r="32" spans="1:8" ht="15.75" customHeight="1" x14ac:dyDescent="0.25">
      <c r="B32" s="19" t="s">
        <v>97</v>
      </c>
      <c r="C32" s="101">
        <v>0.14767061300000001</v>
      </c>
    </row>
    <row r="33" spans="2:3" ht="15.75" customHeight="1" x14ac:dyDescent="0.25">
      <c r="B33" s="19" t="s">
        <v>98</v>
      </c>
      <c r="C33" s="101">
        <v>0.123389649</v>
      </c>
    </row>
    <row r="34" spans="2:3" ht="15.75" customHeight="1" x14ac:dyDescent="0.25">
      <c r="B34" s="19" t="s">
        <v>99</v>
      </c>
      <c r="C34" s="101">
        <v>0.17266399499999999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0.47748951465880585</v>
      </c>
      <c r="D2" s="52">
        <f>IFERROR(1-_xlfn.NORM.DIST(_xlfn.NORM.INV(SUM(D4:D5), 0, 1) + 1, 0, 1, TRUE), "")</f>
        <v>0.47748951465880585</v>
      </c>
      <c r="E2" s="52">
        <f>IFERROR(1-_xlfn.NORM.DIST(_xlfn.NORM.INV(SUM(E4:E5), 0, 1) + 1, 0, 1, TRUE), "")</f>
        <v>0.44427387128346996</v>
      </c>
      <c r="F2" s="52">
        <f>IFERROR(1-_xlfn.NORM.DIST(_xlfn.NORM.INV(SUM(F4:F5), 0, 1) + 1, 0, 1, TRUE), "")</f>
        <v>0.26835129037057226</v>
      </c>
      <c r="G2" s="52">
        <f>IFERROR(1-_xlfn.NORM.DIST(_xlfn.NORM.INV(SUM(G4:G5), 0, 1) + 1, 0, 1, TRUE), "")</f>
        <v>0.24059967202811738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0.34980927998405176</v>
      </c>
      <c r="D3" s="52">
        <f>IFERROR(_xlfn.NORM.DIST(_xlfn.NORM.INV(SUM(D4:D5), 0, 1) + 1, 0, 1, TRUE) - SUM(D4:D5), "")</f>
        <v>0.34980927998405176</v>
      </c>
      <c r="E3" s="52">
        <f>IFERROR(_xlfn.NORM.DIST(_xlfn.NORM.INV(SUM(E4:E5), 0, 1) + 1, 0, 1, TRUE) - SUM(E4:E5), "")</f>
        <v>0.36079244835938734</v>
      </c>
      <c r="F3" s="52">
        <f>IFERROR(_xlfn.NORM.DIST(_xlfn.NORM.INV(SUM(F4:F5), 0, 1) + 1, 0, 1, TRUE) - SUM(F4:F5), "")</f>
        <v>0.38048960962942774</v>
      </c>
      <c r="G3" s="52">
        <f>IFERROR(_xlfn.NORM.DIST(_xlfn.NORM.INV(SUM(G4:G5), 0, 1) + 1, 0, 1, TRUE) - SUM(G4:G5), "")</f>
        <v>0.37564213332902563</v>
      </c>
    </row>
    <row r="4" spans="1:15" ht="15.75" customHeight="1" x14ac:dyDescent="0.25">
      <c r="B4" s="5" t="s">
        <v>104</v>
      </c>
      <c r="C4" s="45">
        <v>0.100377583928571</v>
      </c>
      <c r="D4" s="53">
        <v>0.100377583928571</v>
      </c>
      <c r="E4" s="53">
        <v>0.120720032142857</v>
      </c>
      <c r="F4" s="53">
        <v>0.206891667857143</v>
      </c>
      <c r="G4" s="53">
        <v>0.224426075</v>
      </c>
    </row>
    <row r="5" spans="1:15" ht="15.75" customHeight="1" x14ac:dyDescent="0.25">
      <c r="B5" s="5" t="s">
        <v>105</v>
      </c>
      <c r="C5" s="45">
        <v>7.2323621428571391E-2</v>
      </c>
      <c r="D5" s="53">
        <v>7.2323621428571391E-2</v>
      </c>
      <c r="E5" s="53">
        <v>7.4213648214285707E-2</v>
      </c>
      <c r="F5" s="53">
        <v>0.14426743214285701</v>
      </c>
      <c r="G5" s="53">
        <v>0.15933211964285701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0.53812653814268863</v>
      </c>
      <c r="D8" s="52">
        <f>IFERROR(1-_xlfn.NORM.DIST(_xlfn.NORM.INV(SUM(D10:D11), 0, 1) + 1, 0, 1, TRUE), "")</f>
        <v>0.53812653814268863</v>
      </c>
      <c r="E8" s="52">
        <f>IFERROR(1-_xlfn.NORM.DIST(_xlfn.NORM.INV(SUM(E10:E11), 0, 1) + 1, 0, 1, TRUE), "")</f>
        <v>0.56035242159650323</v>
      </c>
      <c r="F8" s="52">
        <f>IFERROR(1-_xlfn.NORM.DIST(_xlfn.NORM.INV(SUM(F10:F11), 0, 1) + 1, 0, 1, TRUE), "")</f>
        <v>0.57922762492923829</v>
      </c>
      <c r="G8" s="52">
        <f>IFERROR(1-_xlfn.NORM.DIST(_xlfn.NORM.INV(SUM(G10:G11), 0, 1) + 1, 0, 1, TRUE), "")</f>
        <v>0.65018032637863876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0.32527170471445427</v>
      </c>
      <c r="D9" s="52">
        <f>IFERROR(_xlfn.NORM.DIST(_xlfn.NORM.INV(SUM(D10:D11), 0, 1) + 1, 0, 1, TRUE) - SUM(D10:D11), "")</f>
        <v>0.32527170471445427</v>
      </c>
      <c r="E9" s="52">
        <f>IFERROR(_xlfn.NORM.DIST(_xlfn.NORM.INV(SUM(E10:E11), 0, 1) + 1, 0, 1, TRUE) - SUM(E10:E11), "")</f>
        <v>0.31495884804635388</v>
      </c>
      <c r="F9" s="52">
        <f>IFERROR(_xlfn.NORM.DIST(_xlfn.NORM.INV(SUM(F10:F11), 0, 1) + 1, 0, 1, TRUE) - SUM(F10:F11), "")</f>
        <v>0.3056867714993331</v>
      </c>
      <c r="G9" s="52">
        <f>IFERROR(_xlfn.NORM.DIST(_xlfn.NORM.INV(SUM(G10:G11), 0, 1) + 1, 0, 1, TRUE) - SUM(G10:G11), "")</f>
        <v>0.26691680576421839</v>
      </c>
    </row>
    <row r="10" spans="1:15" ht="15.75" customHeight="1" x14ac:dyDescent="0.25">
      <c r="B10" s="5" t="s">
        <v>109</v>
      </c>
      <c r="C10" s="45">
        <v>8.2879166071428506E-2</v>
      </c>
      <c r="D10" s="53">
        <v>8.2879166071428506E-2</v>
      </c>
      <c r="E10" s="53">
        <v>8.5069555357142904E-2</v>
      </c>
      <c r="F10" s="53">
        <v>8.1781450000000006E-2</v>
      </c>
      <c r="G10" s="53">
        <v>6.1769744642857102E-2</v>
      </c>
    </row>
    <row r="11" spans="1:15" ht="15.75" customHeight="1" x14ac:dyDescent="0.25">
      <c r="B11" s="5" t="s">
        <v>110</v>
      </c>
      <c r="C11" s="45">
        <v>5.3722591071428599E-2</v>
      </c>
      <c r="D11" s="53">
        <v>5.3722591071428599E-2</v>
      </c>
      <c r="E11" s="53">
        <v>3.9619175E-2</v>
      </c>
      <c r="F11" s="53">
        <v>3.3304153571428602E-2</v>
      </c>
      <c r="G11" s="53">
        <v>2.11331232142857E-2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0.61941419899999994</v>
      </c>
      <c r="D14" s="54">
        <v>0.61082815785800004</v>
      </c>
      <c r="E14" s="54">
        <v>0.61082815785800004</v>
      </c>
      <c r="F14" s="54">
        <v>0.46499616867100002</v>
      </c>
      <c r="G14" s="54">
        <v>0.46499616867100002</v>
      </c>
      <c r="H14" s="45">
        <v>0.48599999999999999</v>
      </c>
      <c r="I14" s="55">
        <v>0.48599999999999999</v>
      </c>
      <c r="J14" s="55">
        <v>0.48599999999999999</v>
      </c>
      <c r="K14" s="55">
        <v>0.48599999999999999</v>
      </c>
      <c r="L14" s="45">
        <v>0.38200000000000001</v>
      </c>
      <c r="M14" s="55">
        <v>0.38200000000000001</v>
      </c>
      <c r="N14" s="55">
        <v>0.38200000000000001</v>
      </c>
      <c r="O14" s="55">
        <v>0.38200000000000001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0.33511299228618391</v>
      </c>
      <c r="D15" s="52">
        <f t="shared" si="0"/>
        <v>0.33046780665170372</v>
      </c>
      <c r="E15" s="52">
        <f t="shared" si="0"/>
        <v>0.33046780665170372</v>
      </c>
      <c r="F15" s="52">
        <f t="shared" si="0"/>
        <v>0.25157036718970971</v>
      </c>
      <c r="G15" s="52">
        <f t="shared" si="0"/>
        <v>0.25157036718970971</v>
      </c>
      <c r="H15" s="52">
        <f t="shared" si="0"/>
        <v>0.26293377599999995</v>
      </c>
      <c r="I15" s="52">
        <f t="shared" si="0"/>
        <v>0.26293377599999995</v>
      </c>
      <c r="J15" s="52">
        <f t="shared" si="0"/>
        <v>0.26293377599999995</v>
      </c>
      <c r="K15" s="52">
        <f t="shared" si="0"/>
        <v>0.26293377599999995</v>
      </c>
      <c r="L15" s="52">
        <f t="shared" si="0"/>
        <v>0.20666811199999999</v>
      </c>
      <c r="M15" s="52">
        <f t="shared" si="0"/>
        <v>0.20666811199999999</v>
      </c>
      <c r="N15" s="52">
        <f t="shared" si="0"/>
        <v>0.20666811199999999</v>
      </c>
      <c r="O15" s="52">
        <f t="shared" si="0"/>
        <v>0.20666811199999999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0.63046120140845097</v>
      </c>
      <c r="D2" s="53">
        <v>0.43695124225352111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0.13987543571428601</v>
      </c>
      <c r="D3" s="53">
        <v>0.172720771830986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0.18968471549295801</v>
      </c>
      <c r="D4" s="53">
        <v>0.32114636056337997</v>
      </c>
      <c r="E4" s="53">
        <v>0.86012135342465701</v>
      </c>
      <c r="F4" s="53">
        <v>0.68589079999999991</v>
      </c>
      <c r="G4" s="53">
        <v>0</v>
      </c>
    </row>
    <row r="5" spans="1:7" x14ac:dyDescent="0.25">
      <c r="B5" s="3" t="s">
        <v>122</v>
      </c>
      <c r="C5" s="52">
        <v>4.2547995714285698E-2</v>
      </c>
      <c r="D5" s="52">
        <v>6.9181616901408394E-2</v>
      </c>
      <c r="E5" s="52">
        <f>1-SUM(E2:E4)</f>
        <v>0.13987864657534299</v>
      </c>
      <c r="F5" s="52">
        <f>1-SUM(F2:F4)</f>
        <v>0.31410920000000009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42EE33-5B03-4D77-8FC5-695A8EDE64E2}"/>
</file>

<file path=customXml/itemProps2.xml><?xml version="1.0" encoding="utf-8"?>
<ds:datastoreItem xmlns:ds="http://schemas.openxmlformats.org/officeDocument/2006/customXml" ds:itemID="{6BF8361D-AB4D-4F81-832B-A177083EBA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2024-03-26T04:25:10Z</dcterms:modified>
</cp:coreProperties>
</file>