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F69DBAC4-7AE9-4B8A-A114-9CD5B8FDF038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<sst xmlns="http://schemas.openxmlformats.org/spreadsheetml/2006/main" count="2092" uniqueCount="341">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</sst>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54304.55419921875</v>
      </c>
    </row>
    <row r="8" spans="1:3" ht="15" customHeight="1" x14ac:dyDescent="0.25">
      <c r="B8" s="5" t="s">
        <v>8</v>
      </c>
      <c r="C8" s="44">
        <v>0.23400000000000001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0.45275009155273399</v>
      </c>
    </row>
    <row r="11" spans="1:3" ht="15" customHeight="1" x14ac:dyDescent="0.25">
      <c r="B11" s="5" t="s">
        <v>11</v>
      </c>
      <c r="C11" s="45">
        <v>0.63700000000000001</v>
      </c>
    </row>
    <row r="12" spans="1:3" ht="15" customHeight="1" x14ac:dyDescent="0.25">
      <c r="B12" s="5" t="s">
        <v>12</v>
      </c>
      <c r="C12" s="45">
        <v>0.77</v>
      </c>
    </row>
    <row r="13" spans="1:3" ht="15" customHeight="1" x14ac:dyDescent="0.25">
      <c r="B13" s="5" t="s">
        <v>13</v>
      </c>
      <c r="C13" s="45">
        <v>0.46700000000000003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7.3499999999999996E-2</v>
      </c>
    </row>
    <row r="24" spans="1:3" ht="15" customHeight="1" x14ac:dyDescent="0.25">
      <c r="B24" s="15" t="s">
        <v>22</v>
      </c>
      <c r="C24" s="45">
        <v>0.48159999999999997</v>
      </c>
    </row>
    <row r="25" spans="1:3" ht="15" customHeight="1" x14ac:dyDescent="0.25">
      <c r="B25" s="15" t="s">
        <v>23</v>
      </c>
      <c r="C25" s="45">
        <v>0.38009999999999999</v>
      </c>
    </row>
    <row r="26" spans="1:3" ht="15" customHeight="1" x14ac:dyDescent="0.25">
      <c r="B26" s="15" t="s">
        <v>24</v>
      </c>
      <c r="C26" s="45">
        <v>6.480000000000001E-2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0.34994163924792399</v>
      </c>
    </row>
    <row r="30" spans="1:3" ht="14.25" customHeight="1" x14ac:dyDescent="0.25">
      <c r="B30" s="25" t="s">
        <v>27</v>
      </c>
      <c r="C30" s="99">
        <v>0.10516916316476101</v>
      </c>
    </row>
    <row r="31" spans="1:3" ht="14.25" customHeight="1" x14ac:dyDescent="0.25">
      <c r="B31" s="25" t="s">
        <v>28</v>
      </c>
      <c r="C31" s="99">
        <v>8.4505866375242988E-2</v>
      </c>
    </row>
    <row r="32" spans="1:3" ht="14.25" customHeight="1" x14ac:dyDescent="0.25">
      <c r="B32" s="25" t="s">
        <v>29</v>
      </c>
      <c r="C32" s="99">
        <v>0.46038333121207198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10.659739999999999</v>
      </c>
    </row>
    <row r="38" spans="1:5" ht="15" customHeight="1" x14ac:dyDescent="0.25">
      <c r="B38" s="11" t="s">
        <v>34</v>
      </c>
      <c r="C38" s="43">
        <v>15.35069</v>
      </c>
      <c r="D38" s="12"/>
      <c r="E38" s="13"/>
    </row>
    <row r="39" spans="1:5" ht="15" customHeight="1" x14ac:dyDescent="0.25">
      <c r="B39" s="11" t="s">
        <v>35</v>
      </c>
      <c r="C39" s="43">
        <v>17.175809999999998</v>
      </c>
      <c r="D39" s="12"/>
      <c r="E39" s="12"/>
    </row>
    <row r="40" spans="1:5" ht="15" customHeight="1" x14ac:dyDescent="0.25">
      <c r="B40" s="11" t="s">
        <v>36</v>
      </c>
      <c r="C40" s="100">
        <v>0.96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10.94176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1.09351E-2</v>
      </c>
      <c r="D45" s="12"/>
    </row>
    <row r="46" spans="1:5" ht="15.75" customHeight="1" x14ac:dyDescent="0.25">
      <c r="B46" s="11" t="s">
        <v>41</v>
      </c>
      <c r="C46" s="45">
        <v>0.1174965</v>
      </c>
      <c r="D46" s="12"/>
    </row>
    <row r="47" spans="1:5" ht="15.75" customHeight="1" x14ac:dyDescent="0.25">
      <c r="B47" s="11" t="s">
        <v>42</v>
      </c>
      <c r="C47" s="45">
        <v>7.0600399999999994E-2</v>
      </c>
      <c r="D47" s="12"/>
      <c r="E47" s="13"/>
    </row>
    <row r="48" spans="1:5" ht="15" customHeight="1" x14ac:dyDescent="0.25">
      <c r="B48" s="11" t="s">
        <v>43</v>
      </c>
      <c r="C48" s="46">
        <v>0.80096800000000001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0.54960799999999999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0.12637916779176001</v>
      </c>
      <c r="C2" s="98">
        <v>0.95</v>
      </c>
      <c r="D2" s="56">
        <v>36.11916955958214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42.481123974359448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70.900000000000006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1.270477719427328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13.49883587438004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13.49883587438004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13.49883587438004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13.49883587438004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13.49883587438004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13.49883587438004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0.2066742856206</v>
      </c>
      <c r="C16" s="98">
        <v>0.95</v>
      </c>
      <c r="D16" s="56">
        <v>0.2380786122301152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1.73788639265208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1.73788639265208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0.12046129999999999</v>
      </c>
      <c r="C21" s="98">
        <v>0.95</v>
      </c>
      <c r="D21" s="56">
        <v>11.875561895445459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23.01288460391692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5.8989100000000003E-2</v>
      </c>
      <c r="C23" s="98">
        <v>0.95</v>
      </c>
      <c r="D23" s="56">
        <v>4.4354944052820704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0.69723745018169003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0.16203755015136001</v>
      </c>
      <c r="C27" s="98">
        <v>0.95</v>
      </c>
      <c r="D27" s="56">
        <v>19.49524523887251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0.45581739999999998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63.641193459852339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4.5094624774474914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7.7588900000000002E-2</v>
      </c>
      <c r="C32" s="98">
        <v>0.95</v>
      </c>
      <c r="D32" s="56">
        <v>0.45591617905202908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0.89972340000000006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2.7969611357764639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0.23215369999999999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0.10682594000000001</v>
      </c>
      <c r="C3" s="21">
        <f>frac_mam_1_5months * 2.6</f>
        <v>0.10682594000000001</v>
      </c>
      <c r="D3" s="21">
        <f>frac_mam_6_11months * 2.6</f>
        <v>0.20139418000000003</v>
      </c>
      <c r="E3" s="21">
        <f>frac_mam_12_23months * 2.6</f>
        <v>0.12607114</v>
      </c>
      <c r="F3" s="21">
        <f>frac_mam_24_59months * 2.6</f>
        <v>9.9420880000000017E-2</v>
      </c>
    </row>
    <row r="4" spans="1:6" ht="15.75" customHeight="1" x14ac:dyDescent="0.25">
      <c r="A4" s="3" t="s">
        <v>205</v>
      </c>
      <c r="B4" s="21">
        <f>frac_sam_1month * 2.6</f>
        <v>6.0567000000000003E-2</v>
      </c>
      <c r="C4" s="21">
        <f>frac_sam_1_5months * 2.6</f>
        <v>6.0567000000000003E-2</v>
      </c>
      <c r="D4" s="21">
        <f>frac_sam_6_11months * 2.6</f>
        <v>1.8212220000000001E-2</v>
      </c>
      <c r="E4" s="21">
        <f>frac_sam_12_23months * 2.6</f>
        <v>4.7944520000000004E-2</v>
      </c>
      <c r="F4" s="21">
        <f>frac_sam_24_59months * 2.6</f>
        <v>1.7275180000000001E-2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</v>
      </c>
      <c r="E10" s="60">
        <f>IF(ISBLANK(comm_deliv), frac_children_health_facility,1)</f>
        <v>0.77</v>
      </c>
      <c r="F10" s="60">
        <f>IF(ISBLANK(comm_deliv), frac_children_health_facility,1)</f>
        <v>0.77</v>
      </c>
      <c r="G10" s="60">
        <f>IF(ISBLANK(comm_deliv), frac_children_health_facility,1)</f>
        <v>0.77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0.63700000000000001</v>
      </c>
      <c r="I18" s="60">
        <f>frac_PW_health_facility</f>
        <v>0.63700000000000001</v>
      </c>
      <c r="J18" s="60">
        <f>frac_PW_health_facility</f>
        <v>0.63700000000000001</v>
      </c>
      <c r="K18" s="60">
        <f>frac_PW_health_facility</f>
        <v>0.63700000000000001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0.46700000000000003</v>
      </c>
      <c r="M24" s="60">
        <f>famplan_unmet_need</f>
        <v>0.46700000000000003</v>
      </c>
      <c r="N24" s="60">
        <f>famplan_unmet_need</f>
        <v>0.46700000000000003</v>
      </c>
      <c r="O24" s="60">
        <f>famplan_unmet_need</f>
        <v>0.46700000000000003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0.29504431564025896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0.12644756384582528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0.12575802896118171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0.45275009155273405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449674.5455999999</v>
      </c>
      <c r="C2" s="49">
        <v>1222000</v>
      </c>
      <c r="D2" s="49">
        <v>2069000</v>
      </c>
      <c r="E2" s="49">
        <v>785000</v>
      </c>
      <c r="F2" s="49">
        <v>519000</v>
      </c>
      <c r="G2" s="17">
        <f t="shared" ref="G2:G13" si="0">C2+D2+E2+F2</f>
        <v>4595000</v>
      </c>
      <c r="H2" s="17">
        <f t="shared" ref="H2:H13" si="1">(B2 + stillbirth*B2/(1000-stillbirth))/(1-abortion)</f>
        <v>516646.82740844635</v>
      </c>
      <c r="I2" s="17">
        <f t="shared" ref="I2:I13" si="2">G2-H2</f>
        <v>4078353.1725915535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467822.01299999998</v>
      </c>
      <c r="C3" s="50">
        <v>1231000</v>
      </c>
      <c r="D3" s="50">
        <v>2158000</v>
      </c>
      <c r="E3" s="50">
        <v>794000</v>
      </c>
      <c r="F3" s="50">
        <v>542000</v>
      </c>
      <c r="G3" s="17">
        <f t="shared" si="0"/>
        <v>4725000</v>
      </c>
      <c r="H3" s="17">
        <f t="shared" si="1"/>
        <v>537497.08800124482</v>
      </c>
      <c r="I3" s="17">
        <f t="shared" si="2"/>
        <v>4187502.9119987553</v>
      </c>
    </row>
    <row r="4" spans="1:9" ht="15.75" customHeight="1" x14ac:dyDescent="0.25">
      <c r="A4" s="5">
        <f t="shared" si="3"/>
        <v>2026</v>
      </c>
      <c r="B4" s="49">
        <v>480535.56400000007</v>
      </c>
      <c r="C4" s="50">
        <v>1244000</v>
      </c>
      <c r="D4" s="50">
        <v>2241000</v>
      </c>
      <c r="E4" s="50">
        <v>801000</v>
      </c>
      <c r="F4" s="50">
        <v>568000</v>
      </c>
      <c r="G4" s="17">
        <f t="shared" si="0"/>
        <v>4854000</v>
      </c>
      <c r="H4" s="17">
        <f t="shared" si="1"/>
        <v>552104.13181441266</v>
      </c>
      <c r="I4" s="17">
        <f t="shared" si="2"/>
        <v>4301895.8681855872</v>
      </c>
    </row>
    <row r="5" spans="1:9" ht="15.75" customHeight="1" x14ac:dyDescent="0.25">
      <c r="A5" s="5">
        <f t="shared" si="3"/>
        <v>2027</v>
      </c>
      <c r="B5" s="49">
        <v>490941.87699999998</v>
      </c>
      <c r="C5" s="50">
        <v>1250000</v>
      </c>
      <c r="D5" s="50">
        <v>2302000</v>
      </c>
      <c r="E5" s="50">
        <v>803000</v>
      </c>
      <c r="F5" s="50">
        <v>598000</v>
      </c>
      <c r="G5" s="17">
        <f t="shared" si="0"/>
        <v>4953000</v>
      </c>
      <c r="H5" s="17">
        <f t="shared" si="1"/>
        <v>564060.3091188129</v>
      </c>
      <c r="I5" s="17">
        <f t="shared" si="2"/>
        <v>4388939.6908811871</v>
      </c>
    </row>
    <row r="6" spans="1:9" ht="15.75" customHeight="1" x14ac:dyDescent="0.25">
      <c r="A6" s="5">
        <f t="shared" si="3"/>
        <v>2028</v>
      </c>
      <c r="B6" s="49">
        <v>499456.12500000012</v>
      </c>
      <c r="C6" s="50">
        <v>1251000</v>
      </c>
      <c r="D6" s="50">
        <v>2347000</v>
      </c>
      <c r="E6" s="50">
        <v>803000</v>
      </c>
      <c r="F6" s="50">
        <v>630000</v>
      </c>
      <c r="G6" s="17">
        <f t="shared" si="0"/>
        <v>5031000</v>
      </c>
      <c r="H6" s="17">
        <f t="shared" si="1"/>
        <v>573842.62670830288</v>
      </c>
      <c r="I6" s="17">
        <f t="shared" si="2"/>
        <v>4457157.3732916974</v>
      </c>
    </row>
    <row r="7" spans="1:9" ht="15.75" customHeight="1" x14ac:dyDescent="0.25">
      <c r="A7" s="5">
        <f t="shared" si="3"/>
        <v>2029</v>
      </c>
      <c r="B7" s="49">
        <v>506833.04700000008</v>
      </c>
      <c r="C7" s="50">
        <v>1250000</v>
      </c>
      <c r="D7" s="50">
        <v>2379000</v>
      </c>
      <c r="E7" s="50">
        <v>799000</v>
      </c>
      <c r="F7" s="50">
        <v>661000</v>
      </c>
      <c r="G7" s="17">
        <f t="shared" si="0"/>
        <v>5089000</v>
      </c>
      <c r="H7" s="17">
        <f t="shared" si="1"/>
        <v>582318.23064148566</v>
      </c>
      <c r="I7" s="17">
        <f t="shared" si="2"/>
        <v>4506681.7693585139</v>
      </c>
    </row>
    <row r="8" spans="1:9" ht="15.75" customHeight="1" x14ac:dyDescent="0.25">
      <c r="A8" s="5">
        <f t="shared" si="3"/>
        <v>2030</v>
      </c>
      <c r="B8" s="49">
        <v>513614.22399999999</v>
      </c>
      <c r="C8" s="50">
        <v>1247000</v>
      </c>
      <c r="D8" s="50">
        <v>2404000</v>
      </c>
      <c r="E8" s="50">
        <v>795000</v>
      </c>
      <c r="F8" s="50">
        <v>687000</v>
      </c>
      <c r="G8" s="17">
        <f t="shared" si="0"/>
        <v>5133000</v>
      </c>
      <c r="H8" s="17">
        <f t="shared" si="1"/>
        <v>590109.36228864267</v>
      </c>
      <c r="I8" s="17">
        <f t="shared" si="2"/>
        <v>4542890.6377113573</v>
      </c>
    </row>
    <row r="9" spans="1:9" ht="15.75" customHeight="1" x14ac:dyDescent="0.25">
      <c r="A9" s="5">
        <f t="shared" si="3"/>
        <v>2031</v>
      </c>
      <c r="B9" s="49">
        <v>522748.46377142862</v>
      </c>
      <c r="C9" s="50">
        <v>1250571.4285714291</v>
      </c>
      <c r="D9" s="50">
        <v>2451857.1428571432</v>
      </c>
      <c r="E9" s="50">
        <v>796428.57142857148</v>
      </c>
      <c r="F9" s="50">
        <v>711000</v>
      </c>
      <c r="G9" s="17">
        <f t="shared" si="0"/>
        <v>5209857.1428571437</v>
      </c>
      <c r="H9" s="17">
        <f t="shared" si="1"/>
        <v>600604.01012867072</v>
      </c>
      <c r="I9" s="17">
        <f t="shared" si="2"/>
        <v>4609253.1327284733</v>
      </c>
    </row>
    <row r="10" spans="1:9" ht="15.75" customHeight="1" x14ac:dyDescent="0.25">
      <c r="A10" s="5">
        <f t="shared" si="3"/>
        <v>2032</v>
      </c>
      <c r="B10" s="49">
        <v>530595.09959591832</v>
      </c>
      <c r="C10" s="50">
        <v>1253367.3469387761</v>
      </c>
      <c r="D10" s="50">
        <v>2493836.7346938769</v>
      </c>
      <c r="E10" s="50">
        <v>796775.51020408166</v>
      </c>
      <c r="F10" s="50">
        <v>735142.85714285716</v>
      </c>
      <c r="G10" s="17">
        <f t="shared" si="0"/>
        <v>5279122.448979592</v>
      </c>
      <c r="H10" s="17">
        <f t="shared" si="1"/>
        <v>609619.28471830289</v>
      </c>
      <c r="I10" s="17">
        <f t="shared" si="2"/>
        <v>4669503.1642612889</v>
      </c>
    </row>
    <row r="11" spans="1:9" ht="15.75" customHeight="1" x14ac:dyDescent="0.25">
      <c r="A11" s="5">
        <f t="shared" si="3"/>
        <v>2033</v>
      </c>
      <c r="B11" s="49">
        <v>537746.46182390663</v>
      </c>
      <c r="C11" s="50">
        <v>1254705.539358601</v>
      </c>
      <c r="D11" s="50">
        <v>2529956.2682215739</v>
      </c>
      <c r="E11" s="50">
        <v>796172.01166180766</v>
      </c>
      <c r="F11" s="50">
        <v>759020.40816326533</v>
      </c>
      <c r="G11" s="17">
        <f t="shared" si="0"/>
        <v>5339854.2274052482</v>
      </c>
      <c r="H11" s="17">
        <f t="shared" si="1"/>
        <v>617835.73513314442</v>
      </c>
      <c r="I11" s="17">
        <f t="shared" si="2"/>
        <v>4722018.4922721041</v>
      </c>
    </row>
    <row r="12" spans="1:9" ht="15.75" customHeight="1" x14ac:dyDescent="0.25">
      <c r="A12" s="5">
        <f t="shared" si="3"/>
        <v>2034</v>
      </c>
      <c r="B12" s="49">
        <v>544432.83108446468</v>
      </c>
      <c r="C12" s="50">
        <v>1255377.7592669721</v>
      </c>
      <c r="D12" s="50">
        <v>2562521.449396085</v>
      </c>
      <c r="E12" s="50">
        <v>795196.58475635166</v>
      </c>
      <c r="F12" s="50">
        <v>782023.32361516042</v>
      </c>
      <c r="G12" s="17">
        <f t="shared" si="0"/>
        <v>5395119.1170345694</v>
      </c>
      <c r="H12" s="17">
        <f t="shared" si="1"/>
        <v>625517.93884947733</v>
      </c>
      <c r="I12" s="17">
        <f t="shared" si="2"/>
        <v>4769601.1781850923</v>
      </c>
    </row>
    <row r="13" spans="1:9" ht="15.75" customHeight="1" x14ac:dyDescent="0.25">
      <c r="A13" s="5">
        <f t="shared" si="3"/>
        <v>2035</v>
      </c>
      <c r="B13" s="49">
        <v>550858.07481081679</v>
      </c>
      <c r="C13" s="50">
        <v>1256003.153447968</v>
      </c>
      <c r="D13" s="50">
        <v>2593310.2278812402</v>
      </c>
      <c r="E13" s="50">
        <v>794081.81115011615</v>
      </c>
      <c r="F13" s="50">
        <v>803740.94127446902</v>
      </c>
      <c r="G13" s="17">
        <f t="shared" si="0"/>
        <v>5447136.1337537933</v>
      </c>
      <c r="H13" s="17">
        <f t="shared" si="1"/>
        <v>632900.12629821652</v>
      </c>
      <c r="I13" s="17">
        <f t="shared" si="2"/>
        <v>4814236.0074555771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0.6315408620528945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0.62105212099654195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0.87608842789084607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0.87114069606187938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0.87608842789084607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0.87114069606187938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0.43101936672301089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0.42006419640801851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0.84528246350008318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0.83933025136621475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0.84528246350008318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0.83933025136621475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0.91726970741774339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0.91380454292294566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0.90696293421596463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0.90311166887211425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0.90696293421596463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0.90311166887211425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0.89757246747925845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0.15451909999999969</v>
      </c>
    </row>
    <row r="5" spans="1:8" ht="15.75" customHeight="1" x14ac:dyDescent="0.25">
      <c r="B5" s="19" t="s">
        <v>70</v>
      </c>
      <c r="C5" s="101">
        <v>4.2198999999999926E-3</v>
      </c>
    </row>
    <row r="6" spans="1:8" ht="15.75" customHeight="1" x14ac:dyDescent="0.25">
      <c r="B6" s="19" t="s">
        <v>71</v>
      </c>
      <c r="C6" s="101">
        <v>0.19492200000000021</v>
      </c>
    </row>
    <row r="7" spans="1:8" ht="15.75" customHeight="1" x14ac:dyDescent="0.25">
      <c r="B7" s="19" t="s">
        <v>72</v>
      </c>
      <c r="C7" s="101">
        <v>0.42669009999999979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0.16146820000000039</v>
      </c>
    </row>
    <row r="10" spans="1:8" ht="15.75" customHeight="1" x14ac:dyDescent="0.25">
      <c r="B10" s="19" t="s">
        <v>75</v>
      </c>
      <c r="C10" s="101">
        <v>5.8180699999999898E-2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6.2116492322683313E-2</v>
      </c>
      <c r="D14" s="55">
        <v>6.2116492322683313E-2</v>
      </c>
      <c r="E14" s="55">
        <v>6.2116492322683313E-2</v>
      </c>
      <c r="F14" s="55">
        <v>6.2116492322683313E-2</v>
      </c>
    </row>
    <row r="15" spans="1:8" ht="15.75" customHeight="1" x14ac:dyDescent="0.25">
      <c r="B15" s="19" t="s">
        <v>82</v>
      </c>
      <c r="C15" s="101">
        <v>0.29688997844133608</v>
      </c>
      <c r="D15" s="101">
        <v>0.29688997844133608</v>
      </c>
      <c r="E15" s="101">
        <v>0.29688997844133608</v>
      </c>
      <c r="F15" s="101">
        <v>0.29688997844133608</v>
      </c>
    </row>
    <row r="16" spans="1:8" ht="15.75" customHeight="1" x14ac:dyDescent="0.25">
      <c r="B16" s="19" t="s">
        <v>83</v>
      </c>
      <c r="C16" s="101">
        <v>5.627712966098989E-2</v>
      </c>
      <c r="D16" s="101">
        <v>5.627712966098989E-2</v>
      </c>
      <c r="E16" s="101">
        <v>5.627712966098989E-2</v>
      </c>
      <c r="F16" s="101">
        <v>5.627712966098989E-2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6.7017783841196291E-2</v>
      </c>
      <c r="D20" s="101">
        <v>6.7017783841196291E-2</v>
      </c>
      <c r="E20" s="101">
        <v>6.7017783841196291E-2</v>
      </c>
      <c r="F20" s="101">
        <v>6.7017783841196291E-2</v>
      </c>
    </row>
    <row r="21" spans="1:8" ht="15.75" customHeight="1" x14ac:dyDescent="0.25">
      <c r="B21" s="19" t="s">
        <v>88</v>
      </c>
      <c r="C21" s="101">
        <v>0.38511254926272848</v>
      </c>
      <c r="D21" s="101">
        <v>0.38511254926272848</v>
      </c>
      <c r="E21" s="101">
        <v>0.38511254926272848</v>
      </c>
      <c r="F21" s="101">
        <v>0.38511254926272848</v>
      </c>
    </row>
    <row r="22" spans="1:8" ht="15.75" customHeight="1" x14ac:dyDescent="0.25">
      <c r="B22" s="19" t="s">
        <v>89</v>
      </c>
      <c r="C22" s="101">
        <v>0.13258606647106591</v>
      </c>
      <c r="D22" s="101">
        <v>0.13258606647106591</v>
      </c>
      <c r="E22" s="101">
        <v>0.13258606647106591</v>
      </c>
      <c r="F22" s="101">
        <v>0.13258606647106591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5.7343604999999999E-2</v>
      </c>
    </row>
    <row r="27" spans="1:8" ht="15.75" customHeight="1" x14ac:dyDescent="0.25">
      <c r="B27" s="19" t="s">
        <v>92</v>
      </c>
      <c r="C27" s="101">
        <v>1.4167997E-2</v>
      </c>
    </row>
    <row r="28" spans="1:8" ht="15.75" customHeight="1" x14ac:dyDescent="0.25">
      <c r="B28" s="19" t="s">
        <v>93</v>
      </c>
      <c r="C28" s="101">
        <v>0.101559973</v>
      </c>
    </row>
    <row r="29" spans="1:8" ht="15.75" customHeight="1" x14ac:dyDescent="0.25">
      <c r="B29" s="19" t="s">
        <v>94</v>
      </c>
      <c r="C29" s="101">
        <v>0.21960849700000001</v>
      </c>
    </row>
    <row r="30" spans="1:8" ht="15.75" customHeight="1" x14ac:dyDescent="0.25">
      <c r="B30" s="19" t="s">
        <v>95</v>
      </c>
      <c r="C30" s="101">
        <v>5.5062585999999997E-2</v>
      </c>
    </row>
    <row r="31" spans="1:8" ht="15.75" customHeight="1" x14ac:dyDescent="0.25">
      <c r="B31" s="19" t="s">
        <v>96</v>
      </c>
      <c r="C31" s="101">
        <v>0.14229177300000001</v>
      </c>
    </row>
    <row r="32" spans="1:8" ht="15.75" customHeight="1" x14ac:dyDescent="0.25">
      <c r="B32" s="19" t="s">
        <v>97</v>
      </c>
      <c r="C32" s="101">
        <v>3.0837276E-2</v>
      </c>
    </row>
    <row r="33" spans="2:3" ht="15.75" customHeight="1" x14ac:dyDescent="0.25">
      <c r="B33" s="19" t="s">
        <v>98</v>
      </c>
      <c r="C33" s="101">
        <v>8.2024560999999996E-2</v>
      </c>
    </row>
    <row r="34" spans="2:3" ht="15.75" customHeight="1" x14ac:dyDescent="0.25">
      <c r="B34" s="19" t="s">
        <v>99</v>
      </c>
      <c r="C34" s="101">
        <v>0.29710373299999998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0.71787283692135273</v>
      </c>
      <c r="D2" s="52">
        <f>IFERROR(1-_xlfn.NORM.DIST(_xlfn.NORM.INV(SUM(D4:D5), 0, 1) + 1, 0, 1, TRUE), "")</f>
        <v>0.71787283692135273</v>
      </c>
      <c r="E2" s="52">
        <f>IFERROR(1-_xlfn.NORM.DIST(_xlfn.NORM.INV(SUM(E4:E5), 0, 1) + 1, 0, 1, TRUE), "")</f>
        <v>0.78835830343249902</v>
      </c>
      <c r="F2" s="52">
        <f>IFERROR(1-_xlfn.NORM.DIST(_xlfn.NORM.INV(SUM(F4:F5), 0, 1) + 1, 0, 1, TRUE), "")</f>
        <v>0.66194727070227766</v>
      </c>
      <c r="G2" s="52">
        <f>IFERROR(1-_xlfn.NORM.DIST(_xlfn.NORM.INV(SUM(G4:G5), 0, 1) + 1, 0, 1, TRUE), "")</f>
        <v>0.61735896378344113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0.22467576307864728</v>
      </c>
      <c r="D3" s="52">
        <f>IFERROR(_xlfn.NORM.DIST(_xlfn.NORM.INV(SUM(D4:D5), 0, 1) + 1, 0, 1, TRUE) - SUM(D4:D5), "")</f>
        <v>0.22467576307864728</v>
      </c>
      <c r="E3" s="52">
        <f>IFERROR(_xlfn.NORM.DIST(_xlfn.NORM.INV(SUM(E4:E5), 0, 1) + 1, 0, 1, TRUE) - SUM(E4:E5), "")</f>
        <v>0.17576959656750102</v>
      </c>
      <c r="F3" s="52">
        <f>IFERROR(_xlfn.NORM.DIST(_xlfn.NORM.INV(SUM(F4:F5), 0, 1) + 1, 0, 1, TRUE) - SUM(F4:F5), "")</f>
        <v>0.25992572929772234</v>
      </c>
      <c r="G3" s="52">
        <f>IFERROR(_xlfn.NORM.DIST(_xlfn.NORM.INV(SUM(G4:G5), 0, 1) + 1, 0, 1, TRUE) - SUM(G4:G5), "")</f>
        <v>0.28559213621655893</v>
      </c>
    </row>
    <row r="4" spans="1:15" ht="15.75" customHeight="1" x14ac:dyDescent="0.25">
      <c r="B4" s="5" t="s">
        <v>104</v>
      </c>
      <c r="C4" s="45">
        <v>4.59643E-2</v>
      </c>
      <c r="D4" s="53">
        <v>4.59643E-2</v>
      </c>
      <c r="E4" s="53">
        <v>1.7641E-2</v>
      </c>
      <c r="F4" s="53">
        <v>6.0780500000000001E-2</v>
      </c>
      <c r="G4" s="53">
        <v>7.2927099999999995E-2</v>
      </c>
    </row>
    <row r="5" spans="1:15" ht="15.75" customHeight="1" x14ac:dyDescent="0.25">
      <c r="B5" s="5" t="s">
        <v>105</v>
      </c>
      <c r="C5" s="45">
        <v>1.14871E-2</v>
      </c>
      <c r="D5" s="53">
        <v>1.14871E-2</v>
      </c>
      <c r="E5" s="53">
        <v>1.82311E-2</v>
      </c>
      <c r="F5" s="53">
        <v>1.7346500000000001E-2</v>
      </c>
      <c r="G5" s="53">
        <v>2.4121799999999999E-2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0.69811782303108516</v>
      </c>
      <c r="D8" s="52">
        <f>IFERROR(1-_xlfn.NORM.DIST(_xlfn.NORM.INV(SUM(D10:D11), 0, 1) + 1, 0, 1, TRUE), "")</f>
        <v>0.69811782303108516</v>
      </c>
      <c r="E8" s="52">
        <f>IFERROR(1-_xlfn.NORM.DIST(_xlfn.NORM.INV(SUM(E10:E11), 0, 1) + 1, 0, 1, TRUE), "")</f>
        <v>0.64641386601512119</v>
      </c>
      <c r="F8" s="52">
        <f>IFERROR(1-_xlfn.NORM.DIST(_xlfn.NORM.INV(SUM(F10:F11), 0, 1) + 1, 0, 1, TRUE), "")</f>
        <v>0.69113126197764607</v>
      </c>
      <c r="G8" s="52">
        <f>IFERROR(1-_xlfn.NORM.DIST(_xlfn.NORM.INV(SUM(G10:G11), 0, 1) + 1, 0, 1, TRUE), "")</f>
        <v>0.75698353047258626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0.23750027696891479</v>
      </c>
      <c r="D9" s="52">
        <f>IFERROR(_xlfn.NORM.DIST(_xlfn.NORM.INV(SUM(D10:D11), 0, 1) + 1, 0, 1, TRUE) - SUM(D10:D11), "")</f>
        <v>0.23750027696891479</v>
      </c>
      <c r="E9" s="52">
        <f>IFERROR(_xlfn.NORM.DIST(_xlfn.NORM.INV(SUM(E10:E11), 0, 1) + 1, 0, 1, TRUE) - SUM(E10:E11), "")</f>
        <v>0.26912213398487883</v>
      </c>
      <c r="F9" s="52">
        <f>IFERROR(_xlfn.NORM.DIST(_xlfn.NORM.INV(SUM(F10:F11), 0, 1) + 1, 0, 1, TRUE) - SUM(F10:F11), "")</f>
        <v>0.24193963802235391</v>
      </c>
      <c r="G9" s="52">
        <f>IFERROR(_xlfn.NORM.DIST(_xlfn.NORM.INV(SUM(G10:G11), 0, 1) + 1, 0, 1, TRUE) - SUM(G10:G11), "")</f>
        <v>0.19813336952741373</v>
      </c>
    </row>
    <row r="10" spans="1:15" ht="15.75" customHeight="1" x14ac:dyDescent="0.25">
      <c r="B10" s="5" t="s">
        <v>109</v>
      </c>
      <c r="C10" s="45">
        <v>4.1086900000000003E-2</v>
      </c>
      <c r="D10" s="53">
        <v>4.1086900000000003E-2</v>
      </c>
      <c r="E10" s="53">
        <v>7.7459300000000009E-2</v>
      </c>
      <c r="F10" s="53">
        <v>4.8488900000000001E-2</v>
      </c>
      <c r="G10" s="53">
        <v>3.8238800000000003E-2</v>
      </c>
    </row>
    <row r="11" spans="1:15" ht="15.75" customHeight="1" x14ac:dyDescent="0.25">
      <c r="B11" s="5" t="s">
        <v>110</v>
      </c>
      <c r="C11" s="45">
        <v>2.3295E-2</v>
      </c>
      <c r="D11" s="53">
        <v>2.3295E-2</v>
      </c>
      <c r="E11" s="53">
        <v>7.0047E-3</v>
      </c>
      <c r="F11" s="53">
        <v>1.84402E-2</v>
      </c>
      <c r="G11" s="53">
        <v>6.6442999999999997E-3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0.47549585524999999</v>
      </c>
      <c r="D14" s="54">
        <v>0.47235857479600002</v>
      </c>
      <c r="E14" s="54">
        <v>0.47235857479600002</v>
      </c>
      <c r="F14" s="54">
        <v>0.37734795349299999</v>
      </c>
      <c r="G14" s="54">
        <v>0.37734795349299999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0.26133632601224199</v>
      </c>
      <c r="D15" s="52">
        <f t="shared" si="0"/>
        <v>0.25961205157647999</v>
      </c>
      <c r="E15" s="52">
        <f t="shared" si="0"/>
        <v>0.25961205157647999</v>
      </c>
      <c r="F15" s="52">
        <f t="shared" si="0"/>
        <v>0.20739345402338072</v>
      </c>
      <c r="G15" s="52">
        <f t="shared" si="0"/>
        <v>0.20739345402338072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0.16455739999999999</v>
      </c>
      <c r="D2" s="53">
        <v>7.7588900000000002E-2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0.2648297</v>
      </c>
      <c r="D3" s="53">
        <v>0.15188209999999999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0.38233679999999998</v>
      </c>
      <c r="D4" s="53">
        <v>0.48935740000000011</v>
      </c>
      <c r="E4" s="53">
        <v>0.47310200000000002</v>
      </c>
      <c r="F4" s="53">
        <v>0.22597100000000001</v>
      </c>
      <c r="G4" s="53">
        <v>0</v>
      </c>
    </row>
    <row r="5" spans="1:7" x14ac:dyDescent="0.25">
      <c r="B5" s="3" t="s">
        <v>122</v>
      </c>
      <c r="C5" s="52">
        <v>0.1882762</v>
      </c>
      <c r="D5" s="52">
        <v>0.28117150000000002</v>
      </c>
      <c r="E5" s="52">
        <f>1-SUM(E2:E4)</f>
        <v>0.52689799999999998</v>
      </c>
      <c r="F5" s="52">
        <f>1-SUM(F2:F4)</f>
        <v>0.77402899999999997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C7E22F-2F8C-4404-8F70-FA6A3AE60F34}"/>
</file>

<file path=customXml/itemProps2.xml><?xml version="1.0" encoding="utf-8"?>
<ds:datastoreItem xmlns:ds="http://schemas.openxmlformats.org/officeDocument/2006/customXml" ds:itemID="{FA28C382-8B46-4FC7-AB7D-052AD8E836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2024-03-26T04:25:14Z</dcterms:modified>
</cp:coreProperties>
</file>