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F29A67C5-2CCB-490E-AD2B-F356CECDE837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E152" i="27"/>
  <c r="D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G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E97" i="27"/>
  <c r="D97" i="27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<sst xmlns="http://schemas.openxmlformats.org/spreadsheetml/2006/main" count="2092" uniqueCount="341">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</sst>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3482182.625</v>
      </c>
    </row>
    <row r="8" spans="1:3" ht="15" customHeight="1" x14ac:dyDescent="0.25">
      <c r="B8" s="5" t="s">
        <v>8</v>
      </c>
      <c r="C8" s="44">
        <v>0.38400000000000001</v>
      </c>
    </row>
    <row r="9" spans="1:3" ht="15" customHeight="1" x14ac:dyDescent="0.25">
      <c r="B9" s="5" t="s">
        <v>9</v>
      </c>
      <c r="C9" s="45">
        <v>0.86</v>
      </c>
    </row>
    <row r="10" spans="1:3" ht="15" customHeight="1" x14ac:dyDescent="0.25">
      <c r="B10" s="5" t="s">
        <v>10</v>
      </c>
      <c r="C10" s="45">
        <v>0.12396960258483899</v>
      </c>
    </row>
    <row r="11" spans="1:3" ht="15" customHeight="1" x14ac:dyDescent="0.25">
      <c r="B11" s="5" t="s">
        <v>11</v>
      </c>
      <c r="C11" s="45">
        <v>0.31</v>
      </c>
    </row>
    <row r="12" spans="1:3" ht="15" customHeight="1" x14ac:dyDescent="0.25">
      <c r="B12" s="5" t="s">
        <v>12</v>
      </c>
      <c r="C12" s="45">
        <v>0.25800000000000001</v>
      </c>
    </row>
    <row r="13" spans="1:3" ht="15" customHeight="1" x14ac:dyDescent="0.25">
      <c r="B13" s="5" t="s">
        <v>13</v>
      </c>
      <c r="C13" s="45">
        <v>0.82499999999999996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0.1394</v>
      </c>
    </row>
    <row r="24" spans="1:3" ht="15" customHeight="1" x14ac:dyDescent="0.25">
      <c r="B24" s="15" t="s">
        <v>22</v>
      </c>
      <c r="C24" s="45">
        <v>0.44390000000000002</v>
      </c>
    </row>
    <row r="25" spans="1:3" ht="15" customHeight="1" x14ac:dyDescent="0.25">
      <c r="B25" s="15" t="s">
        <v>23</v>
      </c>
      <c r="C25" s="45">
        <v>0.33229999999999998</v>
      </c>
    </row>
    <row r="26" spans="1:3" ht="15" customHeight="1" x14ac:dyDescent="0.25">
      <c r="B26" s="15" t="s">
        <v>24</v>
      </c>
      <c r="C26" s="45">
        <v>8.4399999999999989E-2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0.15293756430852301</v>
      </c>
    </row>
    <row r="30" spans="1:3" ht="14.25" customHeight="1" x14ac:dyDescent="0.25">
      <c r="B30" s="25" t="s">
        <v>27</v>
      </c>
      <c r="C30" s="99">
        <v>9.4746756690583189E-2</v>
      </c>
    </row>
    <row r="31" spans="1:3" ht="14.25" customHeight="1" x14ac:dyDescent="0.25">
      <c r="B31" s="25" t="s">
        <v>28</v>
      </c>
      <c r="C31" s="99">
        <v>0.160927169095259</v>
      </c>
    </row>
    <row r="32" spans="1:3" ht="14.25" customHeight="1" x14ac:dyDescent="0.25">
      <c r="B32" s="25" t="s">
        <v>29</v>
      </c>
      <c r="C32" s="99">
        <v>0.59138850990563396</v>
      </c>
    </row>
    <row r="33" spans="1:5" ht="13" customHeight="1" x14ac:dyDescent="0.25">
      <c r="B33" s="27" t="s">
        <v>30</v>
      </c>
      <c r="C33" s="48">
        <f>SUM(C29:C32)</f>
        <v>0.99999999999999911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32.347020000000001</v>
      </c>
    </row>
    <row r="38" spans="1:5" ht="15" customHeight="1" x14ac:dyDescent="0.25">
      <c r="B38" s="11" t="s">
        <v>34</v>
      </c>
      <c r="C38" s="43">
        <v>66.049419999999998</v>
      </c>
      <c r="D38" s="12"/>
      <c r="E38" s="13"/>
    </row>
    <row r="39" spans="1:5" ht="15" customHeight="1" x14ac:dyDescent="0.25">
      <c r="B39" s="11" t="s">
        <v>35</v>
      </c>
      <c r="C39" s="43">
        <v>107.06547999999999</v>
      </c>
      <c r="D39" s="12"/>
      <c r="E39" s="12"/>
    </row>
    <row r="40" spans="1:5" ht="15" customHeight="1" x14ac:dyDescent="0.25">
      <c r="B40" s="11" t="s">
        <v>36</v>
      </c>
      <c r="C40" s="100">
        <v>10.63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25.27843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7.9279999999999993E-3</v>
      </c>
      <c r="D45" s="12"/>
    </row>
    <row r="46" spans="1:5" ht="15.75" customHeight="1" x14ac:dyDescent="0.25">
      <c r="B46" s="11" t="s">
        <v>41</v>
      </c>
      <c r="C46" s="45">
        <v>8.5185700000000003E-2</v>
      </c>
      <c r="D46" s="12"/>
    </row>
    <row r="47" spans="1:5" ht="15.75" customHeight="1" x14ac:dyDescent="0.25">
      <c r="B47" s="11" t="s">
        <v>42</v>
      </c>
      <c r="C47" s="45">
        <v>7.3461200000000004E-2</v>
      </c>
      <c r="D47" s="12"/>
      <c r="E47" s="13"/>
    </row>
    <row r="48" spans="1:5" ht="15" customHeight="1" x14ac:dyDescent="0.25">
      <c r="B48" s="11" t="s">
        <v>43</v>
      </c>
      <c r="C48" s="46">
        <v>0.83342510000000003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0.43513099999999999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5.8713206342200001E-2</v>
      </c>
      <c r="C2" s="98">
        <v>0.95</v>
      </c>
      <c r="D2" s="56">
        <v>35.834023182075242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47.385692178916713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66.429565189928027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0.144735353400232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15.0449415094118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15.0449415094118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15.0449415094118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15.0449415094118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15.0449415094118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15.0449415094118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0.136995590606</v>
      </c>
      <c r="C16" s="98">
        <v>0.95</v>
      </c>
      <c r="D16" s="56">
        <v>0.24753065261816909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1.6361723633111671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1.6361723633111671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0.13487759999999999</v>
      </c>
      <c r="C21" s="98">
        <v>0.95</v>
      </c>
      <c r="D21" s="56">
        <v>1.3660250985983859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25.638805136545979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7.6780000000000001E-4</v>
      </c>
      <c r="C23" s="98">
        <v>0.95</v>
      </c>
      <c r="D23" s="56">
        <v>4.9287239443093789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0.20364259377329999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7.5279369879200003E-2</v>
      </c>
      <c r="C27" s="98">
        <v>0.95</v>
      </c>
      <c r="D27" s="56">
        <v>21.80411146065811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0.17447260000000001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62.990389674195526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0.18290000000000001</v>
      </c>
      <c r="C31" s="98">
        <v>0.95</v>
      </c>
      <c r="D31" s="56">
        <v>2.9247513411599648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0.16409360000000001</v>
      </c>
      <c r="C32" s="98">
        <v>0.95</v>
      </c>
      <c r="D32" s="56">
        <v>0.46793811090654153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0.12922069999999999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0.2045622</v>
      </c>
      <c r="C38" s="98">
        <v>0.95</v>
      </c>
      <c r="D38" s="56">
        <v>8.1134342608599326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0.23353189999999999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0.24942970000000003</v>
      </c>
      <c r="C3" s="21">
        <f>frac_mam_1_5months * 2.6</f>
        <v>0.24942970000000003</v>
      </c>
      <c r="D3" s="21">
        <f>frac_mam_6_11months * 2.6</f>
        <v>0.33401940000000002</v>
      </c>
      <c r="E3" s="21">
        <f>frac_mam_12_23months * 2.6</f>
        <v>0.32862258</v>
      </c>
      <c r="F3" s="21">
        <f>frac_mam_24_59months * 2.6</f>
        <v>0.20974589999999999</v>
      </c>
    </row>
    <row r="4" spans="1:6" ht="15.75" customHeight="1" x14ac:dyDescent="0.25">
      <c r="A4" s="3" t="s">
        <v>205</v>
      </c>
      <c r="B4" s="21">
        <f>frac_sam_1month * 2.6</f>
        <v>0.15739698000000002</v>
      </c>
      <c r="C4" s="21">
        <f>frac_sam_1_5months * 2.6</f>
        <v>0.15739698000000002</v>
      </c>
      <c r="D4" s="21">
        <f>frac_sam_6_11months * 2.6</f>
        <v>0.20050914000000003</v>
      </c>
      <c r="E4" s="21">
        <f>frac_sam_12_23months * 2.6</f>
        <v>0.16705026000000001</v>
      </c>
      <c r="F4" s="21">
        <f>frac_sam_24_59months * 2.6</f>
        <v>8.4927440000000007E-2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0.38400000000000001</v>
      </c>
      <c r="E2" s="60">
        <f>food_insecure</f>
        <v>0.38400000000000001</v>
      </c>
      <c r="F2" s="60">
        <f>food_insecure</f>
        <v>0.38400000000000001</v>
      </c>
      <c r="G2" s="60">
        <f>food_insecure</f>
        <v>0.38400000000000001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0.38400000000000001</v>
      </c>
      <c r="F5" s="60">
        <f>food_insecure</f>
        <v>0.38400000000000001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0.38400000000000001</v>
      </c>
      <c r="F8" s="60">
        <f>food_insecure</f>
        <v>0.38400000000000001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0.38400000000000001</v>
      </c>
      <c r="F9" s="60">
        <f>food_insecure</f>
        <v>0.38400000000000001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0.25800000000000001</v>
      </c>
      <c r="E10" s="60">
        <f>IF(ISBLANK(comm_deliv), frac_children_health_facility,1)</f>
        <v>0.25800000000000001</v>
      </c>
      <c r="F10" s="60">
        <f>IF(ISBLANK(comm_deliv), frac_children_health_facility,1)</f>
        <v>0.25800000000000001</v>
      </c>
      <c r="G10" s="60">
        <f>IF(ISBLANK(comm_deliv), frac_children_health_facility,1)</f>
        <v>0.25800000000000001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0.38400000000000001</v>
      </c>
      <c r="I15" s="60">
        <f>food_insecure</f>
        <v>0.38400000000000001</v>
      </c>
      <c r="J15" s="60">
        <f>food_insecure</f>
        <v>0.38400000000000001</v>
      </c>
      <c r="K15" s="60">
        <f>food_insecure</f>
        <v>0.38400000000000001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0.31</v>
      </c>
      <c r="I18" s="60">
        <f>frac_PW_health_facility</f>
        <v>0.31</v>
      </c>
      <c r="J18" s="60">
        <f>frac_PW_health_facility</f>
        <v>0.31</v>
      </c>
      <c r="K18" s="60">
        <f>frac_PW_health_facility</f>
        <v>0.31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0.86</v>
      </c>
      <c r="I19" s="60">
        <f>frac_malaria_risk</f>
        <v>0.86</v>
      </c>
      <c r="J19" s="60">
        <f>frac_malaria_risk</f>
        <v>0.86</v>
      </c>
      <c r="K19" s="60">
        <f>frac_malaria_risk</f>
        <v>0.86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0.82499999999999996</v>
      </c>
      <c r="M24" s="60">
        <f>famplan_unmet_need</f>
        <v>0.82499999999999996</v>
      </c>
      <c r="N24" s="60">
        <f>famplan_unmet_need</f>
        <v>0.82499999999999996</v>
      </c>
      <c r="O24" s="60">
        <f>famplan_unmet_need</f>
        <v>0.82499999999999996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0.49989798598098745</v>
      </c>
      <c r="M25" s="60">
        <f>(1-food_insecure)*(0.49)+food_insecure*(0.7)</f>
        <v>0.57064000000000004</v>
      </c>
      <c r="N25" s="60">
        <f>(1-food_insecure)*(0.49)+food_insecure*(0.7)</f>
        <v>0.57064000000000004</v>
      </c>
      <c r="O25" s="60">
        <f>(1-food_insecure)*(0.49)+food_insecure*(0.7)</f>
        <v>0.57064000000000004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0.21424199399185179</v>
      </c>
      <c r="M26" s="60">
        <f>(1-food_insecure)*(0.21)+food_insecure*(0.3)</f>
        <v>0.24456</v>
      </c>
      <c r="N26" s="60">
        <f>(1-food_insecure)*(0.21)+food_insecure*(0.3)</f>
        <v>0.24456</v>
      </c>
      <c r="O26" s="60">
        <f>(1-food_insecure)*(0.21)+food_insecure*(0.3)</f>
        <v>0.24456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0.16189041744232174</v>
      </c>
      <c r="M27" s="60">
        <f>(1-food_insecure)*(0.3)</f>
        <v>0.18479999999999999</v>
      </c>
      <c r="N27" s="60">
        <f>(1-food_insecure)*(0.3)</f>
        <v>0.18479999999999999</v>
      </c>
      <c r="O27" s="60">
        <f>(1-food_insecure)*(0.3)</f>
        <v>0.18479999999999999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0.12396960258483899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0.86</v>
      </c>
      <c r="D34" s="60">
        <f t="shared" si="3"/>
        <v>0.86</v>
      </c>
      <c r="E34" s="60">
        <f t="shared" si="3"/>
        <v>0.86</v>
      </c>
      <c r="F34" s="60">
        <f t="shared" si="3"/>
        <v>0.86</v>
      </c>
      <c r="G34" s="60">
        <f t="shared" si="3"/>
        <v>0.86</v>
      </c>
      <c r="H34" s="60">
        <f t="shared" si="3"/>
        <v>0.86</v>
      </c>
      <c r="I34" s="60">
        <f t="shared" si="3"/>
        <v>0.86</v>
      </c>
      <c r="J34" s="60">
        <f t="shared" si="3"/>
        <v>0.86</v>
      </c>
      <c r="K34" s="60">
        <f t="shared" si="3"/>
        <v>0.86</v>
      </c>
      <c r="L34" s="60">
        <f t="shared" si="3"/>
        <v>0.86</v>
      </c>
      <c r="M34" s="60">
        <f t="shared" si="3"/>
        <v>0.86</v>
      </c>
      <c r="N34" s="60">
        <f t="shared" si="3"/>
        <v>0.86</v>
      </c>
      <c r="O34" s="60">
        <f t="shared" si="3"/>
        <v>0.86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714070.8396000003</v>
      </c>
      <c r="C2" s="49">
        <v>1022000</v>
      </c>
      <c r="D2" s="49">
        <v>1585000</v>
      </c>
      <c r="E2" s="49">
        <v>1028000</v>
      </c>
      <c r="F2" s="49">
        <v>631000</v>
      </c>
      <c r="G2" s="17">
        <f t="shared" ref="G2:G13" si="0">C2+D2+E2+F2</f>
        <v>4266000</v>
      </c>
      <c r="H2" s="17">
        <f t="shared" ref="H2:H13" si="1">(B2 + stillbirth*B2/(1000-stillbirth))/(1-abortion)</f>
        <v>832488.12879876175</v>
      </c>
      <c r="I2" s="17">
        <f t="shared" ref="I2:I13" si="2">G2-H2</f>
        <v>3433511.8712012381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724284.2</v>
      </c>
      <c r="C3" s="50">
        <v>1050000</v>
      </c>
      <c r="D3" s="50">
        <v>1638000</v>
      </c>
      <c r="E3" s="50">
        <v>1070000</v>
      </c>
      <c r="F3" s="50">
        <v>656000</v>
      </c>
      <c r="G3" s="17">
        <f t="shared" si="0"/>
        <v>4414000</v>
      </c>
      <c r="H3" s="17">
        <f t="shared" si="1"/>
        <v>844395.21254539106</v>
      </c>
      <c r="I3" s="17">
        <f t="shared" si="2"/>
        <v>3569604.7874546088</v>
      </c>
    </row>
    <row r="4" spans="1:9" ht="15.75" customHeight="1" x14ac:dyDescent="0.25">
      <c r="A4" s="5">
        <f t="shared" si="3"/>
        <v>2026</v>
      </c>
      <c r="B4" s="49">
        <v>734323.63639999996</v>
      </c>
      <c r="C4" s="50">
        <v>1078000</v>
      </c>
      <c r="D4" s="50">
        <v>1690000</v>
      </c>
      <c r="E4" s="50">
        <v>1112000</v>
      </c>
      <c r="F4" s="50">
        <v>683000</v>
      </c>
      <c r="G4" s="17">
        <f t="shared" si="0"/>
        <v>4563000</v>
      </c>
      <c r="H4" s="17">
        <f t="shared" si="1"/>
        <v>856099.52976343047</v>
      </c>
      <c r="I4" s="17">
        <f t="shared" si="2"/>
        <v>3706900.4702365696</v>
      </c>
    </row>
    <row r="5" spans="1:9" ht="15.75" customHeight="1" x14ac:dyDescent="0.25">
      <c r="A5" s="5">
        <f t="shared" si="3"/>
        <v>2027</v>
      </c>
      <c r="B5" s="49">
        <v>744079.55219999992</v>
      </c>
      <c r="C5" s="50">
        <v>1106000</v>
      </c>
      <c r="D5" s="50">
        <v>1743000</v>
      </c>
      <c r="E5" s="50">
        <v>1155000</v>
      </c>
      <c r="F5" s="50">
        <v>711000</v>
      </c>
      <c r="G5" s="17">
        <f t="shared" si="0"/>
        <v>4715000</v>
      </c>
      <c r="H5" s="17">
        <f t="shared" si="1"/>
        <v>867473.30900024914</v>
      </c>
      <c r="I5" s="17">
        <f t="shared" si="2"/>
        <v>3847526.690999751</v>
      </c>
    </row>
    <row r="6" spans="1:9" ht="15.75" customHeight="1" x14ac:dyDescent="0.25">
      <c r="A6" s="5">
        <f t="shared" si="3"/>
        <v>2028</v>
      </c>
      <c r="B6" s="49">
        <v>753577.96559999988</v>
      </c>
      <c r="C6" s="50">
        <v>1135000</v>
      </c>
      <c r="D6" s="50">
        <v>1796000</v>
      </c>
      <c r="E6" s="50">
        <v>1200000</v>
      </c>
      <c r="F6" s="50">
        <v>740000</v>
      </c>
      <c r="G6" s="17">
        <f t="shared" si="0"/>
        <v>4871000</v>
      </c>
      <c r="H6" s="17">
        <f t="shared" si="1"/>
        <v>878546.88316041592</v>
      </c>
      <c r="I6" s="17">
        <f t="shared" si="2"/>
        <v>3992453.116839584</v>
      </c>
    </row>
    <row r="7" spans="1:9" ht="15.75" customHeight="1" x14ac:dyDescent="0.25">
      <c r="A7" s="5">
        <f t="shared" si="3"/>
        <v>2029</v>
      </c>
      <c r="B7" s="49">
        <v>762806.31979999982</v>
      </c>
      <c r="C7" s="50">
        <v>1164000</v>
      </c>
      <c r="D7" s="50">
        <v>1851000</v>
      </c>
      <c r="E7" s="50">
        <v>1247000</v>
      </c>
      <c r="F7" s="50">
        <v>770000</v>
      </c>
      <c r="G7" s="17">
        <f t="shared" si="0"/>
        <v>5032000</v>
      </c>
      <c r="H7" s="17">
        <f t="shared" si="1"/>
        <v>889305.61309840588</v>
      </c>
      <c r="I7" s="17">
        <f t="shared" si="2"/>
        <v>4142694.3869015942</v>
      </c>
    </row>
    <row r="8" spans="1:9" ht="15.75" customHeight="1" x14ac:dyDescent="0.25">
      <c r="A8" s="5">
        <f t="shared" si="3"/>
        <v>2030</v>
      </c>
      <c r="B8" s="49">
        <v>771680.14000000013</v>
      </c>
      <c r="C8" s="50">
        <v>1193000</v>
      </c>
      <c r="D8" s="50">
        <v>1907000</v>
      </c>
      <c r="E8" s="50">
        <v>1294000</v>
      </c>
      <c r="F8" s="50">
        <v>802000</v>
      </c>
      <c r="G8" s="17">
        <f t="shared" si="0"/>
        <v>5196000</v>
      </c>
      <c r="H8" s="17">
        <f t="shared" si="1"/>
        <v>899651.01521247777</v>
      </c>
      <c r="I8" s="17">
        <f t="shared" si="2"/>
        <v>4296348.9847875219</v>
      </c>
    </row>
    <row r="9" spans="1:9" ht="15.75" customHeight="1" x14ac:dyDescent="0.25">
      <c r="A9" s="5">
        <f t="shared" si="3"/>
        <v>2031</v>
      </c>
      <c r="B9" s="49">
        <v>779910.04005714296</v>
      </c>
      <c r="C9" s="50">
        <v>1217428.5714285709</v>
      </c>
      <c r="D9" s="50">
        <v>1953000</v>
      </c>
      <c r="E9" s="50">
        <v>1332000</v>
      </c>
      <c r="F9" s="50">
        <v>826428.57142857148</v>
      </c>
      <c r="G9" s="17">
        <f t="shared" si="0"/>
        <v>5328857.1428571427</v>
      </c>
      <c r="H9" s="17">
        <f t="shared" si="1"/>
        <v>909245.71327157994</v>
      </c>
      <c r="I9" s="17">
        <f t="shared" si="2"/>
        <v>4419611.429585563</v>
      </c>
    </row>
    <row r="10" spans="1:9" ht="15.75" customHeight="1" x14ac:dyDescent="0.25">
      <c r="A10" s="5">
        <f t="shared" si="3"/>
        <v>2032</v>
      </c>
      <c r="B10" s="49">
        <v>787856.58863673487</v>
      </c>
      <c r="C10" s="50">
        <v>1241346.9387755101</v>
      </c>
      <c r="D10" s="50">
        <v>1998000</v>
      </c>
      <c r="E10" s="50">
        <v>1369428.5714285709</v>
      </c>
      <c r="F10" s="50">
        <v>850775.51020408166</v>
      </c>
      <c r="G10" s="17">
        <f t="shared" si="0"/>
        <v>5459551.0204081619</v>
      </c>
      <c r="H10" s="17">
        <f t="shared" si="1"/>
        <v>918510.0705181784</v>
      </c>
      <c r="I10" s="17">
        <f t="shared" si="2"/>
        <v>4541040.949889984</v>
      </c>
    </row>
    <row r="11" spans="1:9" ht="15.75" customHeight="1" x14ac:dyDescent="0.25">
      <c r="A11" s="5">
        <f t="shared" si="3"/>
        <v>2033</v>
      </c>
      <c r="B11" s="49">
        <v>795504.15324198268</v>
      </c>
      <c r="C11" s="50">
        <v>1264682.21574344</v>
      </c>
      <c r="D11" s="50">
        <v>2042000</v>
      </c>
      <c r="E11" s="50">
        <v>1406204.081632653</v>
      </c>
      <c r="F11" s="50">
        <v>874743.44023323618</v>
      </c>
      <c r="G11" s="17">
        <f t="shared" si="0"/>
        <v>5587629.7376093296</v>
      </c>
      <c r="H11" s="17">
        <f t="shared" si="1"/>
        <v>927425.86205457104</v>
      </c>
      <c r="I11" s="17">
        <f t="shared" si="2"/>
        <v>4660203.8755547591</v>
      </c>
    </row>
    <row r="12" spans="1:9" ht="15.75" customHeight="1" x14ac:dyDescent="0.25">
      <c r="A12" s="5">
        <f t="shared" si="3"/>
        <v>2034</v>
      </c>
      <c r="B12" s="49">
        <v>802850.52481940878</v>
      </c>
      <c r="C12" s="50">
        <v>1287351.103706789</v>
      </c>
      <c r="D12" s="50">
        <v>2084714.2857142859</v>
      </c>
      <c r="E12" s="50">
        <v>1442090.379008746</v>
      </c>
      <c r="F12" s="50">
        <v>898135.36026655568</v>
      </c>
      <c r="G12" s="17">
        <f t="shared" si="0"/>
        <v>5712291.1286963765</v>
      </c>
      <c r="H12" s="17">
        <f t="shared" si="1"/>
        <v>935990.51249090256</v>
      </c>
      <c r="I12" s="17">
        <f t="shared" si="2"/>
        <v>4776300.6162054744</v>
      </c>
    </row>
    <row r="13" spans="1:9" ht="15.75" customHeight="1" x14ac:dyDescent="0.25">
      <c r="A13" s="5">
        <f t="shared" si="3"/>
        <v>2035</v>
      </c>
      <c r="B13" s="49">
        <v>809889.46185075294</v>
      </c>
      <c r="C13" s="50">
        <v>1309115.5470934729</v>
      </c>
      <c r="D13" s="50">
        <v>2125959.1836734689</v>
      </c>
      <c r="E13" s="50">
        <v>1476674.718867138</v>
      </c>
      <c r="F13" s="50">
        <v>920726.1260189208</v>
      </c>
      <c r="G13" s="17">
        <f t="shared" si="0"/>
        <v>5832475.5756530007</v>
      </c>
      <c r="H13" s="17">
        <f t="shared" si="1"/>
        <v>944196.74525240075</v>
      </c>
      <c r="I13" s="17">
        <f t="shared" si="2"/>
        <v>4888278.8304006001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0.57521259382515433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0.4971883217898202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0.84815677201867012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0.80310568232931645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0.84815677201867012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0.80310568232931645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0.37440260475876386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0.30411615641422907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0.81189760914713327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0.7591436052221745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0.81189760914713327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0.7591436052221745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0.8975352693081029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0.86479917644851978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0.88507795145952639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0.84903135523306084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0.88507795145952639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0.84903135523306084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0.85882685113291457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3.6768002519763941E-2</v>
      </c>
    </row>
    <row r="4" spans="1:8" ht="15.75" customHeight="1" x14ac:dyDescent="0.25">
      <c r="B4" s="19" t="s">
        <v>69</v>
      </c>
      <c r="C4" s="101">
        <v>8.0138679066978954E-2</v>
      </c>
    </row>
    <row r="5" spans="1:8" ht="15.75" customHeight="1" x14ac:dyDescent="0.25">
      <c r="B5" s="19" t="s">
        <v>70</v>
      </c>
      <c r="C5" s="101">
        <v>0.1338084305034315</v>
      </c>
    </row>
    <row r="6" spans="1:8" ht="15.75" customHeight="1" x14ac:dyDescent="0.25">
      <c r="B6" s="19" t="s">
        <v>71</v>
      </c>
      <c r="C6" s="101">
        <v>0.25636246900447218</v>
      </c>
    </row>
    <row r="7" spans="1:8" ht="15.75" customHeight="1" x14ac:dyDescent="0.25">
      <c r="B7" s="19" t="s">
        <v>72</v>
      </c>
      <c r="C7" s="101">
        <v>0.32692926681212559</v>
      </c>
    </row>
    <row r="8" spans="1:8" ht="15.75" customHeight="1" x14ac:dyDescent="0.25">
      <c r="B8" s="19" t="s">
        <v>73</v>
      </c>
      <c r="C8" s="101">
        <v>2.187063857666155E-2</v>
      </c>
    </row>
    <row r="9" spans="1:8" ht="15.75" customHeight="1" x14ac:dyDescent="0.25">
      <c r="B9" s="19" t="s">
        <v>74</v>
      </c>
      <c r="C9" s="101">
        <v>3.8326145942798762E-2</v>
      </c>
    </row>
    <row r="10" spans="1:8" ht="15.75" customHeight="1" x14ac:dyDescent="0.25">
      <c r="B10" s="19" t="s">
        <v>75</v>
      </c>
      <c r="C10" s="101">
        <v>0.1057963675737677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0.2096150945805863</v>
      </c>
      <c r="D14" s="55">
        <v>0.2096150945805863</v>
      </c>
      <c r="E14" s="55">
        <v>0.2096150945805863</v>
      </c>
      <c r="F14" s="55">
        <v>0.2096150945805863</v>
      </c>
    </row>
    <row r="15" spans="1:8" ht="15.75" customHeight="1" x14ac:dyDescent="0.25">
      <c r="B15" s="19" t="s">
        <v>82</v>
      </c>
      <c r="C15" s="101">
        <v>0.30290180191756771</v>
      </c>
      <c r="D15" s="101">
        <v>0.30290180191756771</v>
      </c>
      <c r="E15" s="101">
        <v>0.30290180191756771</v>
      </c>
      <c r="F15" s="101">
        <v>0.30290180191756771</v>
      </c>
    </row>
    <row r="16" spans="1:8" ht="15.75" customHeight="1" x14ac:dyDescent="0.25">
      <c r="B16" s="19" t="s">
        <v>83</v>
      </c>
      <c r="C16" s="101">
        <v>4.9506530600581952E-2</v>
      </c>
      <c r="D16" s="101">
        <v>4.9506530600581952E-2</v>
      </c>
      <c r="E16" s="101">
        <v>4.9506530600581952E-2</v>
      </c>
      <c r="F16" s="101">
        <v>4.9506530600581952E-2</v>
      </c>
    </row>
    <row r="17" spans="1:8" ht="15.75" customHeight="1" x14ac:dyDescent="0.25">
      <c r="B17" s="19" t="s">
        <v>84</v>
      </c>
      <c r="C17" s="101">
        <v>4.5077340701437582E-2</v>
      </c>
      <c r="D17" s="101">
        <v>4.5077340701437582E-2</v>
      </c>
      <c r="E17" s="101">
        <v>4.5077340701437582E-2</v>
      </c>
      <c r="F17" s="101">
        <v>4.5077340701437582E-2</v>
      </c>
    </row>
    <row r="18" spans="1:8" ht="15.75" customHeight="1" x14ac:dyDescent="0.25">
      <c r="B18" s="19" t="s">
        <v>85</v>
      </c>
      <c r="C18" s="101">
        <v>0.17951082498897569</v>
      </c>
      <c r="D18" s="101">
        <v>0.17951082498897569</v>
      </c>
      <c r="E18" s="101">
        <v>0.17951082498897569</v>
      </c>
      <c r="F18" s="101">
        <v>0.17951082498897569</v>
      </c>
    </row>
    <row r="19" spans="1:8" ht="15.75" customHeight="1" x14ac:dyDescent="0.25">
      <c r="B19" s="19" t="s">
        <v>86</v>
      </c>
      <c r="C19" s="101">
        <v>1.5499080026813061E-2</v>
      </c>
      <c r="D19" s="101">
        <v>1.5499080026813061E-2</v>
      </c>
      <c r="E19" s="101">
        <v>1.5499080026813061E-2</v>
      </c>
      <c r="F19" s="101">
        <v>1.5499080026813061E-2</v>
      </c>
    </row>
    <row r="20" spans="1:8" ht="15.75" customHeight="1" x14ac:dyDescent="0.25">
      <c r="B20" s="19" t="s">
        <v>87</v>
      </c>
      <c r="C20" s="101">
        <v>9.5918804033508307E-3</v>
      </c>
      <c r="D20" s="101">
        <v>9.5918804033508307E-3</v>
      </c>
      <c r="E20" s="101">
        <v>9.5918804033508307E-3</v>
      </c>
      <c r="F20" s="101">
        <v>9.5918804033508307E-3</v>
      </c>
    </row>
    <row r="21" spans="1:8" ht="15.75" customHeight="1" x14ac:dyDescent="0.25">
      <c r="B21" s="19" t="s">
        <v>88</v>
      </c>
      <c r="C21" s="101">
        <v>3.2982815508519593E-2</v>
      </c>
      <c r="D21" s="101">
        <v>3.2982815508519593E-2</v>
      </c>
      <c r="E21" s="101">
        <v>3.2982815508519593E-2</v>
      </c>
      <c r="F21" s="101">
        <v>3.2982815508519593E-2</v>
      </c>
    </row>
    <row r="22" spans="1:8" ht="15.75" customHeight="1" x14ac:dyDescent="0.25">
      <c r="B22" s="19" t="s">
        <v>89</v>
      </c>
      <c r="C22" s="101">
        <v>0.15531463127216741</v>
      </c>
      <c r="D22" s="101">
        <v>0.15531463127216741</v>
      </c>
      <c r="E22" s="101">
        <v>0.15531463127216741</v>
      </c>
      <c r="F22" s="101">
        <v>0.15531463127216741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8.8804052000000008E-2</v>
      </c>
    </row>
    <row r="27" spans="1:8" ht="15.75" customHeight="1" x14ac:dyDescent="0.25">
      <c r="B27" s="19" t="s">
        <v>92</v>
      </c>
      <c r="C27" s="101">
        <v>8.6505729999999999E-3</v>
      </c>
    </row>
    <row r="28" spans="1:8" ht="15.75" customHeight="1" x14ac:dyDescent="0.25">
      <c r="B28" s="19" t="s">
        <v>93</v>
      </c>
      <c r="C28" s="101">
        <v>0.15426393499999999</v>
      </c>
    </row>
    <row r="29" spans="1:8" ht="15.75" customHeight="1" x14ac:dyDescent="0.25">
      <c r="B29" s="19" t="s">
        <v>94</v>
      </c>
      <c r="C29" s="101">
        <v>0.16852035100000001</v>
      </c>
    </row>
    <row r="30" spans="1:8" ht="15.75" customHeight="1" x14ac:dyDescent="0.25">
      <c r="B30" s="19" t="s">
        <v>95</v>
      </c>
      <c r="C30" s="101">
        <v>0.106889969</v>
      </c>
    </row>
    <row r="31" spans="1:8" ht="15.75" customHeight="1" x14ac:dyDescent="0.25">
      <c r="B31" s="19" t="s">
        <v>96</v>
      </c>
      <c r="C31" s="101">
        <v>0.10946104600000001</v>
      </c>
    </row>
    <row r="32" spans="1:8" ht="15.75" customHeight="1" x14ac:dyDescent="0.25">
      <c r="B32" s="19" t="s">
        <v>97</v>
      </c>
      <c r="C32" s="101">
        <v>1.8636323E-2</v>
      </c>
    </row>
    <row r="33" spans="2:3" ht="15.75" customHeight="1" x14ac:dyDescent="0.25">
      <c r="B33" s="19" t="s">
        <v>98</v>
      </c>
      <c r="C33" s="101">
        <v>8.3221009999999998E-2</v>
      </c>
    </row>
    <row r="34" spans="2:3" ht="15.75" customHeight="1" x14ac:dyDescent="0.25">
      <c r="B34" s="19" t="s">
        <v>99</v>
      </c>
      <c r="C34" s="101">
        <v>0.26155274000000001</v>
      </c>
    </row>
    <row r="35" spans="2:3" ht="15.75" customHeight="1" x14ac:dyDescent="0.25">
      <c r="B35" s="27" t="s">
        <v>30</v>
      </c>
      <c r="C35" s="48">
        <f>SUM(C26:C34)</f>
        <v>0.99999999900000014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0.57527704833162918</v>
      </c>
      <c r="D2" s="52">
        <f>IFERROR(1-_xlfn.NORM.DIST(_xlfn.NORM.INV(SUM(D4:D5), 0, 1) + 1, 0, 1, TRUE), "")</f>
        <v>0.57527704833162918</v>
      </c>
      <c r="E2" s="52">
        <f>IFERROR(1-_xlfn.NORM.DIST(_xlfn.NORM.INV(SUM(E4:E5), 0, 1) + 1, 0, 1, TRUE), "")</f>
        <v>0.38657966597483828</v>
      </c>
      <c r="F2" s="52">
        <f>IFERROR(1-_xlfn.NORM.DIST(_xlfn.NORM.INV(SUM(F4:F5), 0, 1) + 1, 0, 1, TRUE), "")</f>
        <v>0.19527089196556247</v>
      </c>
      <c r="G2" s="52">
        <f>IFERROR(1-_xlfn.NORM.DIST(_xlfn.NORM.INV(SUM(G4:G5), 0, 1) + 1, 0, 1, TRUE), "")</f>
        <v>0.21072496537900354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0.30766545166837078</v>
      </c>
      <c r="D3" s="52">
        <f>IFERROR(_xlfn.NORM.DIST(_xlfn.NORM.INV(SUM(D4:D5), 0, 1) + 1, 0, 1, TRUE) - SUM(D4:D5), "")</f>
        <v>0.30766545166837078</v>
      </c>
      <c r="E3" s="52">
        <f>IFERROR(_xlfn.NORM.DIST(_xlfn.NORM.INV(SUM(E4:E5), 0, 1) + 1, 0, 1, TRUE) - SUM(E4:E5), "")</f>
        <v>0.37511213402516169</v>
      </c>
      <c r="F3" s="52">
        <f>IFERROR(_xlfn.NORM.DIST(_xlfn.NORM.INV(SUM(F4:F5), 0, 1) + 1, 0, 1, TRUE) - SUM(F4:F5), "")</f>
        <v>0.36093820803443755</v>
      </c>
      <c r="G3" s="52">
        <f>IFERROR(_xlfn.NORM.DIST(_xlfn.NORM.INV(SUM(G4:G5), 0, 1) + 1, 0, 1, TRUE) - SUM(G4:G5), "")</f>
        <v>0.36700583462099645</v>
      </c>
    </row>
    <row r="4" spans="1:15" ht="15.75" customHeight="1" x14ac:dyDescent="0.25">
      <c r="B4" s="5" t="s">
        <v>104</v>
      </c>
      <c r="C4" s="45">
        <v>6.8478600000000001E-2</v>
      </c>
      <c r="D4" s="53">
        <v>6.8478600000000001E-2</v>
      </c>
      <c r="E4" s="53">
        <v>0.13440060000000001</v>
      </c>
      <c r="F4" s="53">
        <v>0.21662210000000001</v>
      </c>
      <c r="G4" s="53">
        <v>0.21005599999999999</v>
      </c>
    </row>
    <row r="5" spans="1:15" ht="15.75" customHeight="1" x14ac:dyDescent="0.25">
      <c r="B5" s="5" t="s">
        <v>105</v>
      </c>
      <c r="C5" s="45">
        <v>4.8578900000000001E-2</v>
      </c>
      <c r="D5" s="53">
        <v>4.8578900000000001E-2</v>
      </c>
      <c r="E5" s="53">
        <v>0.1039076</v>
      </c>
      <c r="F5" s="53">
        <v>0.2271688</v>
      </c>
      <c r="G5" s="53">
        <v>0.21221319999999999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0.50361624753888468</v>
      </c>
      <c r="D8" s="52">
        <f>IFERROR(1-_xlfn.NORM.DIST(_xlfn.NORM.INV(SUM(D10:D11), 0, 1) + 1, 0, 1, TRUE), "")</f>
        <v>0.50361624753888468</v>
      </c>
      <c r="E8" s="52">
        <f>IFERROR(1-_xlfn.NORM.DIST(_xlfn.NORM.INV(SUM(E10:E11), 0, 1) + 1, 0, 1, TRUE), "")</f>
        <v>0.42929325636114668</v>
      </c>
      <c r="F8" s="52">
        <f>IFERROR(1-_xlfn.NORM.DIST(_xlfn.NORM.INV(SUM(F10:F11), 0, 1) + 1, 0, 1, TRUE), "")</f>
        <v>0.45047069846182375</v>
      </c>
      <c r="G8" s="52">
        <f>IFERROR(1-_xlfn.NORM.DIST(_xlfn.NORM.INV(SUM(G10:G11), 0, 1) + 1, 0, 1, TRUE), "")</f>
        <v>0.58276678308832131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0.33991195246111533</v>
      </c>
      <c r="D9" s="52">
        <f>IFERROR(_xlfn.NORM.DIST(_xlfn.NORM.INV(SUM(D10:D11), 0, 1) + 1, 0, 1, TRUE) - SUM(D10:D11), "")</f>
        <v>0.33991195246111533</v>
      </c>
      <c r="E9" s="52">
        <f>IFERROR(_xlfn.NORM.DIST(_xlfn.NORM.INV(SUM(E10:E11), 0, 1) + 1, 0, 1, TRUE) - SUM(E10:E11), "")</f>
        <v>0.36511884363885333</v>
      </c>
      <c r="F9" s="52">
        <f>IFERROR(_xlfn.NORM.DIST(_xlfn.NORM.INV(SUM(F10:F11), 0, 1) + 1, 0, 1, TRUE) - SUM(F10:F11), "")</f>
        <v>0.35888590153817623</v>
      </c>
      <c r="G9" s="52">
        <f>IFERROR(_xlfn.NORM.DIST(_xlfn.NORM.INV(SUM(G10:G11), 0, 1) + 1, 0, 1, TRUE) - SUM(G10:G11), "")</f>
        <v>0.30389731691167871</v>
      </c>
    </row>
    <row r="10" spans="1:15" ht="15.75" customHeight="1" x14ac:dyDescent="0.25">
      <c r="B10" s="5" t="s">
        <v>109</v>
      </c>
      <c r="C10" s="45">
        <v>9.5934500000000006E-2</v>
      </c>
      <c r="D10" s="53">
        <v>9.5934500000000006E-2</v>
      </c>
      <c r="E10" s="53">
        <v>0.128469</v>
      </c>
      <c r="F10" s="53">
        <v>0.12639329999999999</v>
      </c>
      <c r="G10" s="53">
        <v>8.0671499999999993E-2</v>
      </c>
    </row>
    <row r="11" spans="1:15" ht="15.75" customHeight="1" x14ac:dyDescent="0.25">
      <c r="B11" s="5" t="s">
        <v>110</v>
      </c>
      <c r="C11" s="45">
        <v>6.0537300000000002E-2</v>
      </c>
      <c r="D11" s="53">
        <v>6.0537300000000002E-2</v>
      </c>
      <c r="E11" s="53">
        <v>7.7118900000000004E-2</v>
      </c>
      <c r="F11" s="53">
        <v>6.4250100000000004E-2</v>
      </c>
      <c r="G11" s="53">
        <v>3.2664400000000003E-2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0.73521598700000002</v>
      </c>
      <c r="D14" s="54">
        <v>0.72018264867199999</v>
      </c>
      <c r="E14" s="54">
        <v>0.72018264867199999</v>
      </c>
      <c r="F14" s="54">
        <v>0.82913690597400003</v>
      </c>
      <c r="G14" s="54">
        <v>0.82913690597400003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0.47099999999999992</v>
      </c>
      <c r="M14" s="55">
        <v>0.47099999999999992</v>
      </c>
      <c r="N14" s="55">
        <v>0.47099999999999992</v>
      </c>
      <c r="O14" s="55">
        <v>0.47099999999999992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0.31991526763929701</v>
      </c>
      <c r="D15" s="52">
        <f t="shared" si="0"/>
        <v>0.313373796099296</v>
      </c>
      <c r="E15" s="52">
        <f t="shared" si="0"/>
        <v>0.313373796099296</v>
      </c>
      <c r="F15" s="52">
        <f t="shared" si="0"/>
        <v>0.3607831710333726</v>
      </c>
      <c r="G15" s="52">
        <f t="shared" si="0"/>
        <v>0.3607831710333726</v>
      </c>
      <c r="H15" s="52">
        <f t="shared" si="0"/>
        <v>0.22670325099999999</v>
      </c>
      <c r="I15" s="52">
        <f t="shared" si="0"/>
        <v>0.22670325099999999</v>
      </c>
      <c r="J15" s="52">
        <f t="shared" si="0"/>
        <v>0.22670325099999999</v>
      </c>
      <c r="K15" s="52">
        <f t="shared" si="0"/>
        <v>0.22670325099999999</v>
      </c>
      <c r="L15" s="52">
        <f t="shared" si="0"/>
        <v>0.20494670099999995</v>
      </c>
      <c r="M15" s="52">
        <f t="shared" si="0"/>
        <v>0.20494670099999995</v>
      </c>
      <c r="N15" s="52">
        <f t="shared" si="0"/>
        <v>0.20494670099999995</v>
      </c>
      <c r="O15" s="52">
        <f t="shared" si="0"/>
        <v>0.20494670099999995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0.22203829999999999</v>
      </c>
      <c r="D2" s="53">
        <v>0.16409360000000001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0.5179011</v>
      </c>
      <c r="D3" s="53">
        <v>0.40324939999999998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0.24761810000000001</v>
      </c>
      <c r="D4" s="53">
        <v>0.4201106</v>
      </c>
      <c r="E4" s="53">
        <v>0.96840000000000004</v>
      </c>
      <c r="F4" s="53">
        <v>0.72719300000000009</v>
      </c>
      <c r="G4" s="53">
        <v>0</v>
      </c>
    </row>
    <row r="5" spans="1:7" x14ac:dyDescent="0.25">
      <c r="B5" s="3" t="s">
        <v>122</v>
      </c>
      <c r="C5" s="52">
        <v>1.2442399999999999E-2</v>
      </c>
      <c r="D5" s="52">
        <v>1.25463E-2</v>
      </c>
      <c r="E5" s="52">
        <f>1-SUM(E2:E4)</f>
        <v>3.1599999999999961E-2</v>
      </c>
      <c r="F5" s="52">
        <f>1-SUM(F2:F4)</f>
        <v>0.27280699999999991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8D2FB5-247C-4314-9913-C28D9FCDD495}"/>
</file>

<file path=customXml/itemProps2.xml><?xml version="1.0" encoding="utf-8"?>
<ds:datastoreItem xmlns:ds="http://schemas.openxmlformats.org/officeDocument/2006/customXml" ds:itemID="{7563F99C-29FB-4954-881A-8FBD66EA55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2024-03-26T04:24:19Z</dcterms:modified>
</cp:coreProperties>
</file>