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burnetinstitute.sharepoint.com/sites/WG-Modelling-Nutrition/Shared Documents/Applications/WB multi_country/All_databooks/"/>
    </mc:Choice>
  </mc:AlternateContent>
  <xr:revisionPtr revIDLastSave="1" documentId="8_{C8643F24-DD3C-435F-9DD0-1807FD22A2B0}" xr6:coauthVersionLast="47" xr6:coauthVersionMax="47" xr10:uidLastSave="{B6774240-9D8C-47B5-B300-437212E0403F}"/>
  <bookViews>
    <workbookView xWindow="-110" yWindow="-110" windowWidth="19420" windowHeight="10420" tabRatio="961" firstSheet="4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D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E112" i="27"/>
  <c r="D112" i="27"/>
  <c r="H97" i="27"/>
  <c r="H152" i="27" s="1"/>
  <c r="G97" i="27"/>
  <c r="G152" i="27" s="1"/>
  <c r="F97" i="27"/>
  <c r="E97" i="27"/>
  <c r="E152" i="27" s="1"/>
  <c r="D97" i="27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A37" i="2"/>
  <c r="A36" i="2"/>
  <c r="A35" i="2"/>
  <c r="A34" i="2"/>
  <c r="A32" i="2"/>
  <c r="A31" i="2"/>
  <c r="A29" i="2"/>
  <c r="A28" i="2"/>
  <c r="A27" i="2"/>
  <c r="A26" i="2"/>
  <c r="A24" i="2"/>
  <c r="A23" i="2"/>
  <c r="A21" i="2"/>
  <c r="A20" i="2"/>
  <c r="A19" i="2"/>
  <c r="A18" i="2"/>
  <c r="A16" i="2"/>
  <c r="A15" i="2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3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/>
  <c r="A22" i="2"/>
  <c r="A30" i="2"/>
  <c r="A38" i="2"/>
  <c r="A40" i="2"/>
  <c r="A17" i="2"/>
  <c r="A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<sst xmlns="http://schemas.openxmlformats.org/spreadsheetml/2006/main" count="2092" uniqueCount="341">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</sst>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8" sqref="C8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1263402.15625</v>
      </c>
    </row>
    <row r="8" spans="1:3" ht="15" customHeight="1" x14ac:dyDescent="0.25">
      <c r="B8" s="5" t="s">
        <v>8</v>
      </c>
      <c r="C8" s="44">
        <v>4.8000000000000001E-2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0.23430719375610401</v>
      </c>
    </row>
    <row r="11" spans="1:3" ht="15" customHeight="1" x14ac:dyDescent="0.25">
      <c r="B11" s="5" t="s">
        <v>11</v>
      </c>
      <c r="C11" s="45">
        <v>0.50600000000000001</v>
      </c>
    </row>
    <row r="12" spans="1:3" ht="15" customHeight="1" x14ac:dyDescent="0.25">
      <c r="B12" s="5" t="s">
        <v>12</v>
      </c>
      <c r="C12" s="45">
        <v>0.55399999999999994</v>
      </c>
    </row>
    <row r="13" spans="1:3" ht="15" customHeight="1" x14ac:dyDescent="0.25">
      <c r="B13" s="5" t="s">
        <v>13</v>
      </c>
      <c r="C13" s="45">
        <v>0.47099999999999997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0.1169</v>
      </c>
    </row>
    <row r="24" spans="1:3" ht="15" customHeight="1" x14ac:dyDescent="0.25">
      <c r="B24" s="15" t="s">
        <v>22</v>
      </c>
      <c r="C24" s="45">
        <v>0.50690000000000002</v>
      </c>
    </row>
    <row r="25" spans="1:3" ht="15" customHeight="1" x14ac:dyDescent="0.25">
      <c r="B25" s="15" t="s">
        <v>23</v>
      </c>
      <c r="C25" s="45">
        <v>0.31080000000000002</v>
      </c>
    </row>
    <row r="26" spans="1:3" ht="15" customHeight="1" x14ac:dyDescent="0.25">
      <c r="B26" s="15" t="s">
        <v>24</v>
      </c>
      <c r="C26" s="45">
        <v>6.54E-2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0.32097876330389902</v>
      </c>
    </row>
    <row r="30" spans="1:3" ht="14.25" customHeight="1" x14ac:dyDescent="0.25">
      <c r="B30" s="25" t="s">
        <v>27</v>
      </c>
      <c r="C30" s="99">
        <v>0.11435649369624799</v>
      </c>
    </row>
    <row r="31" spans="1:3" ht="14.25" customHeight="1" x14ac:dyDescent="0.25">
      <c r="B31" s="25" t="s">
        <v>28</v>
      </c>
      <c r="C31" s="99">
        <v>0.128931423055959</v>
      </c>
    </row>
    <row r="32" spans="1:3" ht="14.25" customHeight="1" x14ac:dyDescent="0.25">
      <c r="B32" s="25" t="s">
        <v>29</v>
      </c>
      <c r="C32" s="99">
        <v>0.43573331994389503</v>
      </c>
    </row>
    <row r="33" spans="1:5" ht="13" customHeight="1" x14ac:dyDescent="0.25">
      <c r="B33" s="27" t="s">
        <v>30</v>
      </c>
      <c r="C33" s="48">
        <f>SUM(C29:C32)</f>
        <v>1.0000000000000011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13.569990000000001</v>
      </c>
    </row>
    <row r="38" spans="1:5" ht="15" customHeight="1" x14ac:dyDescent="0.25">
      <c r="B38" s="11" t="s">
        <v>34</v>
      </c>
      <c r="C38" s="43">
        <v>27.63936</v>
      </c>
      <c r="D38" s="12"/>
      <c r="E38" s="13"/>
    </row>
    <row r="39" spans="1:5" ht="15" customHeight="1" x14ac:dyDescent="0.25">
      <c r="B39" s="11" t="s">
        <v>35</v>
      </c>
      <c r="C39" s="43">
        <v>31.419</v>
      </c>
      <c r="D39" s="12"/>
      <c r="E39" s="12"/>
    </row>
    <row r="40" spans="1:5" ht="15" customHeight="1" x14ac:dyDescent="0.25">
      <c r="B40" s="11" t="s">
        <v>36</v>
      </c>
      <c r="C40" s="100">
        <v>0.17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9.1299799999999998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5.9144999999999996E-3</v>
      </c>
      <c r="D45" s="12"/>
    </row>
    <row r="46" spans="1:5" ht="15.75" customHeight="1" x14ac:dyDescent="0.25">
      <c r="B46" s="11" t="s">
        <v>41</v>
      </c>
      <c r="C46" s="45">
        <v>6.3550899999999994E-2</v>
      </c>
      <c r="D46" s="12"/>
    </row>
    <row r="47" spans="1:5" ht="15.75" customHeight="1" x14ac:dyDescent="0.25">
      <c r="B47" s="11" t="s">
        <v>42</v>
      </c>
      <c r="C47" s="45">
        <v>7.5376799999999994E-2</v>
      </c>
      <c r="D47" s="12"/>
      <c r="E47" s="13"/>
    </row>
    <row r="48" spans="1:5" ht="15" customHeight="1" x14ac:dyDescent="0.25">
      <c r="B48" s="11" t="s">
        <v>43</v>
      </c>
      <c r="C48" s="46">
        <v>0.85515780000000008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2.8</v>
      </c>
      <c r="D51" s="12"/>
    </row>
    <row r="52" spans="1:4" ht="15" customHeight="1" x14ac:dyDescent="0.25">
      <c r="B52" s="11" t="s">
        <v>46</v>
      </c>
      <c r="C52" s="100">
        <v>2.8</v>
      </c>
    </row>
    <row r="53" spans="1:4" ht="15.75" customHeight="1" x14ac:dyDescent="0.25">
      <c r="B53" s="11" t="s">
        <v>47</v>
      </c>
      <c r="C53" s="100">
        <v>2.8</v>
      </c>
    </row>
    <row r="54" spans="1:4" ht="15.75" customHeight="1" x14ac:dyDescent="0.25">
      <c r="B54" s="11" t="s">
        <v>48</v>
      </c>
      <c r="C54" s="100">
        <v>2.8</v>
      </c>
    </row>
    <row r="55" spans="1:4" ht="15.75" customHeight="1" x14ac:dyDescent="0.25">
      <c r="B55" s="11" t="s">
        <v>49</v>
      </c>
      <c r="C55" s="100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1.6428571428571431E-2</v>
      </c>
    </row>
    <row r="59" spans="1:4" ht="15.75" customHeight="1" x14ac:dyDescent="0.25">
      <c r="B59" s="11" t="s">
        <v>52</v>
      </c>
      <c r="C59" s="45">
        <v>0.58725400000000005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0.10496649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0.12106331020241</v>
      </c>
      <c r="C2" s="98">
        <v>0.95</v>
      </c>
      <c r="D2" s="56">
        <v>37.19399420609443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44.687863506355853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87.750761200273303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0.2017460120905139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14.21292537547621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14.21292537547621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14.21292537547621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14.21292537547621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14.21292537547621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14.21292537547621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0.2297651940206</v>
      </c>
      <c r="C16" s="98">
        <v>0.95</v>
      </c>
      <c r="D16" s="56">
        <v>0.2692044645575572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2.121285075768927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2.121285075768927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0.52023419999999998</v>
      </c>
      <c r="C21" s="98">
        <v>0.95</v>
      </c>
      <c r="D21" s="56">
        <v>2.018086277984164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24.240556138631131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2.6733799999999999E-2</v>
      </c>
      <c r="C23" s="98">
        <v>0.95</v>
      </c>
      <c r="D23" s="56">
        <v>4.6734447573928826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0.65971046931085997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0.15522180230475999</v>
      </c>
      <c r="C27" s="98">
        <v>0.95</v>
      </c>
      <c r="D27" s="56">
        <v>20.520932391194329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0.61705699999999997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66.094319306946403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0.87641819162715673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0.31436900000000001</v>
      </c>
      <c r="C32" s="98">
        <v>0.95</v>
      </c>
      <c r="D32" s="56">
        <v>0.52185419969466551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0.96748329999999994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0.95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0.19674449999999999</v>
      </c>
      <c r="C38" s="98">
        <v>0.95</v>
      </c>
      <c r="D38" s="56">
        <v>3.1822727770799002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0.22507530000000001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2.8</v>
      </c>
      <c r="C2" s="21">
        <f>'Baseline year population inputs'!C52</f>
        <v>2.8</v>
      </c>
      <c r="D2" s="21">
        <f>'Baseline year population inputs'!C53</f>
        <v>2.8</v>
      </c>
      <c r="E2" s="21">
        <f>'Baseline year population inputs'!C54</f>
        <v>2.8</v>
      </c>
      <c r="F2" s="21">
        <f>'Baseline year population inputs'!C55</f>
        <v>2.8</v>
      </c>
    </row>
    <row r="3" spans="1:6" ht="15.75" customHeight="1" x14ac:dyDescent="0.25">
      <c r="A3" s="3" t="s">
        <v>204</v>
      </c>
      <c r="B3" s="21">
        <f>frac_mam_1month * 2.6</f>
        <v>0.20820643999999999</v>
      </c>
      <c r="C3" s="21">
        <f>frac_mam_1_5months * 2.6</f>
        <v>0.20820643999999999</v>
      </c>
      <c r="D3" s="21">
        <f>frac_mam_6_11months * 2.6</f>
        <v>0.17632004000000001</v>
      </c>
      <c r="E3" s="21">
        <f>frac_mam_12_23months * 2.6</f>
        <v>0.13176305999999999</v>
      </c>
      <c r="F3" s="21">
        <f>frac_mam_24_59months * 2.6</f>
        <v>5.4110159999999997E-2</v>
      </c>
    </row>
    <row r="4" spans="1:6" ht="15.75" customHeight="1" x14ac:dyDescent="0.25">
      <c r="A4" s="3" t="s">
        <v>205</v>
      </c>
      <c r="B4" s="21">
        <f>frac_sam_1month * 2.6</f>
        <v>0.14861002000000001</v>
      </c>
      <c r="C4" s="21">
        <f>frac_sam_1_5months * 2.6</f>
        <v>0.14861002000000001</v>
      </c>
      <c r="D4" s="21">
        <f>frac_sam_6_11months * 2.6</f>
        <v>8.5352800000000006E-2</v>
      </c>
      <c r="E4" s="21">
        <f>frac_sam_12_23months * 2.6</f>
        <v>5.5193840000000008E-2</v>
      </c>
      <c r="F4" s="21">
        <f>frac_sam_24_59months * 2.6</f>
        <v>2.2595040000000004E-2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tabSelected="1" zoomScale="85" zoomScaleNormal="118" workbookViewId="0">
      <selection activeCell="D9" sqref="D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4.8000000000000001E-2</v>
      </c>
      <c r="E2" s="60">
        <f>food_insecure</f>
        <v>4.8000000000000001E-2</v>
      </c>
      <c r="F2" s="60">
        <f>food_insecure</f>
        <v>4.8000000000000001E-2</v>
      </c>
      <c r="G2" s="60">
        <f>food_insecure</f>
        <v>4.8000000000000001E-2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4.8000000000000001E-2</v>
      </c>
      <c r="F5" s="60">
        <f>food_insecure</f>
        <v>4.8000000000000001E-2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4.8000000000000001E-2</v>
      </c>
      <c r="F8" s="60">
        <f>food_insecure</f>
        <v>4.8000000000000001E-2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4.8000000000000001E-2</v>
      </c>
      <c r="F9" s="60">
        <f>food_insecure</f>
        <v>4.8000000000000001E-2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0.55399999999999994</v>
      </c>
      <c r="E10" s="60">
        <f>IF(ISBLANK(comm_deliv), frac_children_health_facility,1)</f>
        <v>0.55399999999999994</v>
      </c>
      <c r="F10" s="60">
        <f>IF(ISBLANK(comm_deliv), frac_children_health_facility,1)</f>
        <v>0.55399999999999994</v>
      </c>
      <c r="G10" s="60">
        <f>IF(ISBLANK(comm_deliv), frac_children_health_facility,1)</f>
        <v>0.55399999999999994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4.8000000000000001E-2</v>
      </c>
      <c r="I15" s="60">
        <f>food_insecure</f>
        <v>4.8000000000000001E-2</v>
      </c>
      <c r="J15" s="60">
        <f>food_insecure</f>
        <v>4.8000000000000001E-2</v>
      </c>
      <c r="K15" s="60">
        <f>food_insecure</f>
        <v>4.8000000000000001E-2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0.50600000000000001</v>
      </c>
      <c r="I18" s="60">
        <f>frac_PW_health_facility</f>
        <v>0.50600000000000001</v>
      </c>
      <c r="J18" s="60">
        <f>frac_PW_health_facility</f>
        <v>0.50600000000000001</v>
      </c>
      <c r="K18" s="60">
        <f>frac_PW_health_facility</f>
        <v>0.50600000000000001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0.47099999999999997</v>
      </c>
      <c r="M24" s="60">
        <f>famplan_unmet_need</f>
        <v>0.47099999999999997</v>
      </c>
      <c r="N24" s="60">
        <f>famplan_unmet_need</f>
        <v>0.47099999999999997</v>
      </c>
      <c r="O24" s="60">
        <f>famplan_unmet_need</f>
        <v>0.47099999999999997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0.38290765854644748</v>
      </c>
      <c r="M25" s="60">
        <f>(1-food_insecure)*(0.49)+food_insecure*(0.7)</f>
        <v>0.50007999999999997</v>
      </c>
      <c r="N25" s="60">
        <f>(1-food_insecure)*(0.49)+food_insecure*(0.7)</f>
        <v>0.50007999999999997</v>
      </c>
      <c r="O25" s="60">
        <f>(1-food_insecure)*(0.49)+food_insecure*(0.7)</f>
        <v>0.50007999999999997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0.16410328223419177</v>
      </c>
      <c r="M26" s="60">
        <f>(1-food_insecure)*(0.21)+food_insecure*(0.3)</f>
        <v>0.21431999999999998</v>
      </c>
      <c r="N26" s="60">
        <f>(1-food_insecure)*(0.21)+food_insecure*(0.3)</f>
        <v>0.21431999999999998</v>
      </c>
      <c r="O26" s="60">
        <f>(1-food_insecure)*(0.21)+food_insecure*(0.3)</f>
        <v>0.21431999999999998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0.21868186546325669</v>
      </c>
      <c r="M27" s="60">
        <f>(1-food_insecure)*(0.3)</f>
        <v>0.28559999999999997</v>
      </c>
      <c r="N27" s="60">
        <f>(1-food_insecure)*(0.3)</f>
        <v>0.28559999999999997</v>
      </c>
      <c r="O27" s="60">
        <f>(1-food_insecure)*(0.3)</f>
        <v>0.28559999999999997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0.23430719375610398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2484977.2740000002</v>
      </c>
      <c r="C2" s="49">
        <v>3841000</v>
      </c>
      <c r="D2" s="49">
        <v>5896000</v>
      </c>
      <c r="E2" s="49">
        <v>4587000</v>
      </c>
      <c r="F2" s="49">
        <v>5214000</v>
      </c>
      <c r="G2" s="17">
        <f t="shared" ref="G2:G13" si="0">C2+D2+E2+F2</f>
        <v>19538000</v>
      </c>
      <c r="H2" s="17">
        <f t="shared" ref="H2:H13" si="1">(B2 + stillbirth*B2/(1000-stillbirth))/(1-abortion)</f>
        <v>2849856.9483045177</v>
      </c>
      <c r="I2" s="17">
        <f t="shared" ref="I2:I13" si="2">G2-H2</f>
        <v>16688143.051695483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2533150.8930000002</v>
      </c>
      <c r="C3" s="50">
        <v>3952000</v>
      </c>
      <c r="D3" s="50">
        <v>6103000</v>
      </c>
      <c r="E3" s="50">
        <v>4610000</v>
      </c>
      <c r="F3" s="50">
        <v>5090000</v>
      </c>
      <c r="G3" s="17">
        <f t="shared" si="0"/>
        <v>19755000</v>
      </c>
      <c r="H3" s="17">
        <f t="shared" si="1"/>
        <v>2905104.1025817622</v>
      </c>
      <c r="I3" s="17">
        <f t="shared" si="2"/>
        <v>16849895.897418238</v>
      </c>
    </row>
    <row r="4" spans="1:9" ht="15.75" customHeight="1" x14ac:dyDescent="0.25">
      <c r="A4" s="5">
        <f t="shared" si="3"/>
        <v>2026</v>
      </c>
      <c r="B4" s="49">
        <v>2584416.9172</v>
      </c>
      <c r="C4" s="50">
        <v>4065000</v>
      </c>
      <c r="D4" s="50">
        <v>6320000</v>
      </c>
      <c r="E4" s="50">
        <v>4640000</v>
      </c>
      <c r="F4" s="50">
        <v>4968000</v>
      </c>
      <c r="G4" s="17">
        <f t="shared" si="0"/>
        <v>19993000</v>
      </c>
      <c r="H4" s="17">
        <f t="shared" si="1"/>
        <v>2963897.7329328125</v>
      </c>
      <c r="I4" s="17">
        <f t="shared" si="2"/>
        <v>17029102.267067187</v>
      </c>
    </row>
    <row r="5" spans="1:9" ht="15.75" customHeight="1" x14ac:dyDescent="0.25">
      <c r="A5" s="5">
        <f t="shared" si="3"/>
        <v>2027</v>
      </c>
      <c r="B5" s="49">
        <v>2635959.9791999999</v>
      </c>
      <c r="C5" s="50">
        <v>4186000</v>
      </c>
      <c r="D5" s="50">
        <v>6545000</v>
      </c>
      <c r="E5" s="50">
        <v>4678000</v>
      </c>
      <c r="F5" s="50">
        <v>4846000</v>
      </c>
      <c r="G5" s="17">
        <f t="shared" si="0"/>
        <v>20255000</v>
      </c>
      <c r="H5" s="17">
        <f t="shared" si="1"/>
        <v>3023009.0797103005</v>
      </c>
      <c r="I5" s="17">
        <f t="shared" si="2"/>
        <v>17231990.920289699</v>
      </c>
    </row>
    <row r="6" spans="1:9" ht="15.75" customHeight="1" x14ac:dyDescent="0.25">
      <c r="A6" s="5">
        <f t="shared" si="3"/>
        <v>2028</v>
      </c>
      <c r="B6" s="49">
        <v>2687773.6424000012</v>
      </c>
      <c r="C6" s="50">
        <v>4309000</v>
      </c>
      <c r="D6" s="50">
        <v>6776000</v>
      </c>
      <c r="E6" s="50">
        <v>4714000</v>
      </c>
      <c r="F6" s="50">
        <v>4734000</v>
      </c>
      <c r="G6" s="17">
        <f t="shared" si="0"/>
        <v>20533000</v>
      </c>
      <c r="H6" s="17">
        <f t="shared" si="1"/>
        <v>3082430.7612011526</v>
      </c>
      <c r="I6" s="17">
        <f t="shared" si="2"/>
        <v>17450569.238798849</v>
      </c>
    </row>
    <row r="7" spans="1:9" ht="15.75" customHeight="1" x14ac:dyDescent="0.25">
      <c r="A7" s="5">
        <f t="shared" si="3"/>
        <v>2029</v>
      </c>
      <c r="B7" s="49">
        <v>2739816.6172000002</v>
      </c>
      <c r="C7" s="50">
        <v>4431000</v>
      </c>
      <c r="D7" s="50">
        <v>7008000</v>
      </c>
      <c r="E7" s="50">
        <v>4737000</v>
      </c>
      <c r="F7" s="50">
        <v>4639000</v>
      </c>
      <c r="G7" s="17">
        <f t="shared" si="0"/>
        <v>20815000</v>
      </c>
      <c r="H7" s="17">
        <f t="shared" si="1"/>
        <v>3142115.4250795771</v>
      </c>
      <c r="I7" s="17">
        <f t="shared" si="2"/>
        <v>17672884.574920423</v>
      </c>
    </row>
    <row r="8" spans="1:9" ht="15.75" customHeight="1" x14ac:dyDescent="0.25">
      <c r="A8" s="5">
        <f t="shared" si="3"/>
        <v>2030</v>
      </c>
      <c r="B8" s="49">
        <v>2792047.6140000001</v>
      </c>
      <c r="C8" s="50">
        <v>4547000</v>
      </c>
      <c r="D8" s="50">
        <v>7240000</v>
      </c>
      <c r="E8" s="50">
        <v>4737000</v>
      </c>
      <c r="F8" s="50">
        <v>4570000</v>
      </c>
      <c r="G8" s="17">
        <f t="shared" si="0"/>
        <v>21094000</v>
      </c>
      <c r="H8" s="17">
        <f t="shared" si="1"/>
        <v>3202015.7190197911</v>
      </c>
      <c r="I8" s="17">
        <f t="shared" si="2"/>
        <v>17891984.280980207</v>
      </c>
    </row>
    <row r="9" spans="1:9" ht="15.75" customHeight="1" x14ac:dyDescent="0.25">
      <c r="A9" s="5">
        <f t="shared" si="3"/>
        <v>2031</v>
      </c>
      <c r="B9" s="49">
        <v>2835914.805428572</v>
      </c>
      <c r="C9" s="50">
        <v>4647857.1428571427</v>
      </c>
      <c r="D9" s="50">
        <v>7432000</v>
      </c>
      <c r="E9" s="50">
        <v>4758428.5714285718</v>
      </c>
      <c r="F9" s="50">
        <v>4478000</v>
      </c>
      <c r="G9" s="17">
        <f t="shared" si="0"/>
        <v>21316285.714285713</v>
      </c>
      <c r="H9" s="17">
        <f t="shared" si="1"/>
        <v>3252324.1148362593</v>
      </c>
      <c r="I9" s="17">
        <f t="shared" si="2"/>
        <v>18063961.599449452</v>
      </c>
    </row>
    <row r="10" spans="1:9" ht="15.75" customHeight="1" x14ac:dyDescent="0.25">
      <c r="A10" s="5">
        <f t="shared" si="3"/>
        <v>2032</v>
      </c>
      <c r="B10" s="49">
        <v>2879166.7929183668</v>
      </c>
      <c r="C10" s="50">
        <v>4747265.3061224492</v>
      </c>
      <c r="D10" s="50">
        <v>7621857.1428571427</v>
      </c>
      <c r="E10" s="50">
        <v>4779632.6530612251</v>
      </c>
      <c r="F10" s="50">
        <v>4390571.4285714282</v>
      </c>
      <c r="G10" s="17">
        <f t="shared" si="0"/>
        <v>21539326.530612245</v>
      </c>
      <c r="H10" s="17">
        <f t="shared" si="1"/>
        <v>3301926.9737297576</v>
      </c>
      <c r="I10" s="17">
        <f t="shared" si="2"/>
        <v>18237399.556882486</v>
      </c>
    </row>
    <row r="11" spans="1:9" ht="15.75" customHeight="1" x14ac:dyDescent="0.25">
      <c r="A11" s="5">
        <f t="shared" si="3"/>
        <v>2033</v>
      </c>
      <c r="B11" s="49">
        <v>2921273.9180209911</v>
      </c>
      <c r="C11" s="50">
        <v>4844731.7784256563</v>
      </c>
      <c r="D11" s="50">
        <v>7807836.7346938774</v>
      </c>
      <c r="E11" s="50">
        <v>4799580.1749271154</v>
      </c>
      <c r="F11" s="50">
        <v>4308081.6326530604</v>
      </c>
      <c r="G11" s="17">
        <f t="shared" si="0"/>
        <v>21760230.32069971</v>
      </c>
      <c r="H11" s="17">
        <f t="shared" si="1"/>
        <v>3350216.8652721788</v>
      </c>
      <c r="I11" s="17">
        <f t="shared" si="2"/>
        <v>18410013.455427531</v>
      </c>
    </row>
    <row r="12" spans="1:9" ht="15.75" customHeight="1" x14ac:dyDescent="0.25">
      <c r="A12" s="5">
        <f t="shared" si="3"/>
        <v>2034</v>
      </c>
      <c r="B12" s="49">
        <v>2962033.052138275</v>
      </c>
      <c r="C12" s="50">
        <v>4938836.3182007503</v>
      </c>
      <c r="D12" s="50">
        <v>7988241.9825072885</v>
      </c>
      <c r="E12" s="50">
        <v>4816948.7713452736</v>
      </c>
      <c r="F12" s="50">
        <v>4231236.1516034976</v>
      </c>
      <c r="G12" s="17">
        <f t="shared" si="0"/>
        <v>21975263.223656811</v>
      </c>
      <c r="H12" s="17">
        <f t="shared" si="1"/>
        <v>3396960.8346381607</v>
      </c>
      <c r="I12" s="17">
        <f t="shared" si="2"/>
        <v>18578302.389018651</v>
      </c>
    </row>
    <row r="13" spans="1:9" ht="15.75" customHeight="1" x14ac:dyDescent="0.25">
      <c r="A13" s="5">
        <f t="shared" si="3"/>
        <v>2035</v>
      </c>
      <c r="B13" s="49">
        <v>3001212.9678151719</v>
      </c>
      <c r="C13" s="50">
        <v>5028812.9350865716</v>
      </c>
      <c r="D13" s="50">
        <v>8161419.4085797584</v>
      </c>
      <c r="E13" s="50">
        <v>4831655.7386803124</v>
      </c>
      <c r="F13" s="50">
        <v>4159412.7446897109</v>
      </c>
      <c r="G13" s="17">
        <f t="shared" si="0"/>
        <v>22181300.827036351</v>
      </c>
      <c r="H13" s="17">
        <f t="shared" si="1"/>
        <v>3441893.7022720193</v>
      </c>
      <c r="I13" s="17">
        <f t="shared" si="2"/>
        <v>18739407.124764331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0.62317715718014333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0.59387316698715187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0.8721520036990007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0.85779144058626422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0.8721520036990007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0.85779144058626422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0.42226784967338482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0.39256907974514954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0.84054551547736178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0.82335380570476657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0.84054551547736178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0.82335380570476657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0.91451387565249054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0.90438999047528301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0.9038997429840272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0.89266638585251468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0.9038997429840272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0.89266638585251468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0.88907991791913932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3.0741955489755001E-3</v>
      </c>
    </row>
    <row r="4" spans="1:8" ht="15.75" customHeight="1" x14ac:dyDescent="0.25">
      <c r="B4" s="19" t="s">
        <v>69</v>
      </c>
      <c r="C4" s="101">
        <v>4.5714087306233192E-2</v>
      </c>
    </row>
    <row r="5" spans="1:8" ht="15.75" customHeight="1" x14ac:dyDescent="0.25">
      <c r="B5" s="19" t="s">
        <v>70</v>
      </c>
      <c r="C5" s="101">
        <v>6.2934905662831719E-2</v>
      </c>
    </row>
    <row r="6" spans="1:8" ht="15.75" customHeight="1" x14ac:dyDescent="0.25">
      <c r="B6" s="19" t="s">
        <v>71</v>
      </c>
      <c r="C6" s="101">
        <v>0.20706367546229029</v>
      </c>
    </row>
    <row r="7" spans="1:8" ht="15.75" customHeight="1" x14ac:dyDescent="0.25">
      <c r="B7" s="19" t="s">
        <v>72</v>
      </c>
      <c r="C7" s="101">
        <v>0.45319363919792882</v>
      </c>
    </row>
    <row r="8" spans="1:8" ht="15.75" customHeight="1" x14ac:dyDescent="0.25">
      <c r="B8" s="19" t="s">
        <v>73</v>
      </c>
      <c r="C8" s="101">
        <v>3.9374278179925862E-4</v>
      </c>
    </row>
    <row r="9" spans="1:8" ht="15.75" customHeight="1" x14ac:dyDescent="0.25">
      <c r="B9" s="19" t="s">
        <v>74</v>
      </c>
      <c r="C9" s="101">
        <v>0.12922187821010439</v>
      </c>
    </row>
    <row r="10" spans="1:8" ht="15.75" customHeight="1" x14ac:dyDescent="0.25">
      <c r="B10" s="19" t="s">
        <v>75</v>
      </c>
      <c r="C10" s="101">
        <v>9.8403875829836771E-2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0.1633072076199294</v>
      </c>
      <c r="D14" s="55">
        <v>0.1633072076199294</v>
      </c>
      <c r="E14" s="55">
        <v>0.1633072076199294</v>
      </c>
      <c r="F14" s="55">
        <v>0.1633072076199294</v>
      </c>
    </row>
    <row r="15" spans="1:8" ht="15.75" customHeight="1" x14ac:dyDescent="0.25">
      <c r="B15" s="19" t="s">
        <v>82</v>
      </c>
      <c r="C15" s="101">
        <v>0.40822241936014758</v>
      </c>
      <c r="D15" s="101">
        <v>0.40822241936014758</v>
      </c>
      <c r="E15" s="101">
        <v>0.40822241936014758</v>
      </c>
      <c r="F15" s="101">
        <v>0.40822241936014758</v>
      </c>
    </row>
    <row r="16" spans="1:8" ht="15.75" customHeight="1" x14ac:dyDescent="0.25">
      <c r="B16" s="19" t="s">
        <v>83</v>
      </c>
      <c r="C16" s="101">
        <v>2.46705865376926E-2</v>
      </c>
      <c r="D16" s="101">
        <v>2.46705865376926E-2</v>
      </c>
      <c r="E16" s="101">
        <v>2.46705865376926E-2</v>
      </c>
      <c r="F16" s="101">
        <v>2.46705865376926E-2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9.4156144041897885E-3</v>
      </c>
      <c r="D19" s="101">
        <v>9.4156144041897885E-3</v>
      </c>
      <c r="E19" s="101">
        <v>9.4156144041897885E-3</v>
      </c>
      <c r="F19" s="101">
        <v>9.4156144041897885E-3</v>
      </c>
    </row>
    <row r="20" spans="1:8" ht="15.75" customHeight="1" x14ac:dyDescent="0.25">
      <c r="B20" s="19" t="s">
        <v>87</v>
      </c>
      <c r="C20" s="101">
        <v>1.6199682475618121E-2</v>
      </c>
      <c r="D20" s="101">
        <v>1.6199682475618121E-2</v>
      </c>
      <c r="E20" s="101">
        <v>1.6199682475618121E-2</v>
      </c>
      <c r="F20" s="101">
        <v>1.6199682475618121E-2</v>
      </c>
    </row>
    <row r="21" spans="1:8" ht="15.75" customHeight="1" x14ac:dyDescent="0.25">
      <c r="B21" s="19" t="s">
        <v>88</v>
      </c>
      <c r="C21" s="101">
        <v>0.20382368632032299</v>
      </c>
      <c r="D21" s="101">
        <v>0.20382368632032299</v>
      </c>
      <c r="E21" s="101">
        <v>0.20382368632032299</v>
      </c>
      <c r="F21" s="101">
        <v>0.20382368632032299</v>
      </c>
    </row>
    <row r="22" spans="1:8" ht="15.75" customHeight="1" x14ac:dyDescent="0.25">
      <c r="B22" s="19" t="s">
        <v>89</v>
      </c>
      <c r="C22" s="101">
        <v>0.17436080328209949</v>
      </c>
      <c r="D22" s="101">
        <v>0.17436080328209949</v>
      </c>
      <c r="E22" s="101">
        <v>0.17436080328209949</v>
      </c>
      <c r="F22" s="101">
        <v>0.17436080328209949</v>
      </c>
    </row>
    <row r="23" spans="1:8" ht="15.75" customHeight="1" x14ac:dyDescent="0.25">
      <c r="B23" s="27" t="s">
        <v>30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5.4573182999999997E-2</v>
      </c>
    </row>
    <row r="27" spans="1:8" ht="15.75" customHeight="1" x14ac:dyDescent="0.25">
      <c r="B27" s="19" t="s">
        <v>92</v>
      </c>
      <c r="C27" s="101">
        <v>5.9409878999999999E-2</v>
      </c>
    </row>
    <row r="28" spans="1:8" ht="15.75" customHeight="1" x14ac:dyDescent="0.25">
      <c r="B28" s="19" t="s">
        <v>93</v>
      </c>
      <c r="C28" s="101">
        <v>0.12098242100000001</v>
      </c>
    </row>
    <row r="29" spans="1:8" ht="15.75" customHeight="1" x14ac:dyDescent="0.25">
      <c r="B29" s="19" t="s">
        <v>94</v>
      </c>
      <c r="C29" s="101">
        <v>0.13495797500000001</v>
      </c>
    </row>
    <row r="30" spans="1:8" ht="15.75" customHeight="1" x14ac:dyDescent="0.25">
      <c r="B30" s="19" t="s">
        <v>95</v>
      </c>
      <c r="C30" s="101">
        <v>8.1454253000000018E-2</v>
      </c>
    </row>
    <row r="31" spans="1:8" ht="15.75" customHeight="1" x14ac:dyDescent="0.25">
      <c r="B31" s="19" t="s">
        <v>96</v>
      </c>
      <c r="C31" s="101">
        <v>6.5903797E-2</v>
      </c>
    </row>
    <row r="32" spans="1:8" ht="15.75" customHeight="1" x14ac:dyDescent="0.25">
      <c r="B32" s="19" t="s">
        <v>97</v>
      </c>
      <c r="C32" s="101">
        <v>0.13216685</v>
      </c>
    </row>
    <row r="33" spans="2:3" ht="15.75" customHeight="1" x14ac:dyDescent="0.25">
      <c r="B33" s="19" t="s">
        <v>98</v>
      </c>
      <c r="C33" s="101">
        <v>0.12743632599999999</v>
      </c>
    </row>
    <row r="34" spans="2:3" ht="15.75" customHeight="1" x14ac:dyDescent="0.25">
      <c r="B34" s="19" t="s">
        <v>99</v>
      </c>
      <c r="C34" s="101">
        <v>0.22311531600000001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0.69269518779269001</v>
      </c>
      <c r="D2" s="52">
        <f>IFERROR(1-_xlfn.NORM.DIST(_xlfn.NORM.INV(SUM(D4:D5), 0, 1) + 1, 0, 1, TRUE), "")</f>
        <v>0.69269518779269001</v>
      </c>
      <c r="E2" s="52">
        <f>IFERROR(1-_xlfn.NORM.DIST(_xlfn.NORM.INV(SUM(E4:E5), 0, 1) + 1, 0, 1, TRUE), "")</f>
        <v>0.68353608890151563</v>
      </c>
      <c r="F2" s="52">
        <f>IFERROR(1-_xlfn.NORM.DIST(_xlfn.NORM.INV(SUM(F4:F5), 0, 1) + 1, 0, 1, TRUE), "")</f>
        <v>0.47013527764712237</v>
      </c>
      <c r="G2" s="52">
        <f>IFERROR(1-_xlfn.NORM.DIST(_xlfn.NORM.INV(SUM(G4:G5), 0, 1) + 1, 0, 1, TRUE), "")</f>
        <v>0.42555735724829358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0.24095031220731</v>
      </c>
      <c r="D3" s="52">
        <f>IFERROR(_xlfn.NORM.DIST(_xlfn.NORM.INV(SUM(D4:D5), 0, 1) + 1, 0, 1, TRUE) - SUM(D4:D5), "")</f>
        <v>0.24095031220731</v>
      </c>
      <c r="E3" s="52">
        <f>IFERROR(_xlfn.NORM.DIST(_xlfn.NORM.INV(SUM(E4:E5), 0, 1) + 1, 0, 1, TRUE) - SUM(E4:E5), "")</f>
        <v>0.24670781109848439</v>
      </c>
      <c r="F3" s="52">
        <f>IFERROR(_xlfn.NORM.DIST(_xlfn.NORM.INV(SUM(F4:F5), 0, 1) + 1, 0, 1, TRUE) - SUM(F4:F5), "")</f>
        <v>0.3524000223528776</v>
      </c>
      <c r="G3" s="52">
        <f>IFERROR(_xlfn.NORM.DIST(_xlfn.NORM.INV(SUM(G4:G5), 0, 1) + 1, 0, 1, TRUE) - SUM(G4:G5), "")</f>
        <v>0.36613394275170641</v>
      </c>
    </row>
    <row r="4" spans="1:15" ht="15.75" customHeight="1" x14ac:dyDescent="0.25">
      <c r="B4" s="5" t="s">
        <v>104</v>
      </c>
      <c r="C4" s="45">
        <v>5.35565E-2</v>
      </c>
      <c r="D4" s="53">
        <v>5.35565E-2</v>
      </c>
      <c r="E4" s="53">
        <v>5.1997099999999997E-2</v>
      </c>
      <c r="F4" s="53">
        <v>0.1270577</v>
      </c>
      <c r="G4" s="53">
        <v>0.15624679999999999</v>
      </c>
    </row>
    <row r="5" spans="1:15" ht="15.75" customHeight="1" x14ac:dyDescent="0.25">
      <c r="B5" s="5" t="s">
        <v>105</v>
      </c>
      <c r="C5" s="45">
        <v>1.2798E-2</v>
      </c>
      <c r="D5" s="53">
        <v>1.2798E-2</v>
      </c>
      <c r="E5" s="53">
        <v>1.7759E-2</v>
      </c>
      <c r="F5" s="53">
        <v>5.0407E-2</v>
      </c>
      <c r="G5" s="53">
        <v>5.2061900000000001E-2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0.53697548759743674</v>
      </c>
      <c r="D8" s="52">
        <f>IFERROR(1-_xlfn.NORM.DIST(_xlfn.NORM.INV(SUM(D10:D11), 0, 1) + 1, 0, 1, TRUE), "")</f>
        <v>0.53697548759743674</v>
      </c>
      <c r="E8" s="52">
        <f>IFERROR(1-_xlfn.NORM.DIST(_xlfn.NORM.INV(SUM(E10:E11), 0, 1) + 1, 0, 1, TRUE), "")</f>
        <v>0.60945313934775447</v>
      </c>
      <c r="F8" s="52">
        <f>IFERROR(1-_xlfn.NORM.DIST(_xlfn.NORM.INV(SUM(F10:F11), 0, 1) + 1, 0, 1, TRUE), "")</f>
        <v>0.67786541738420714</v>
      </c>
      <c r="G8" s="52">
        <f>IFERROR(1-_xlfn.NORM.DIST(_xlfn.NORM.INV(SUM(G10:G11), 0, 1) + 1, 0, 1, TRUE), "")</f>
        <v>0.81277360377809094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0.32578741240256326</v>
      </c>
      <c r="D9" s="52">
        <f>IFERROR(_xlfn.NORM.DIST(_xlfn.NORM.INV(SUM(D10:D11), 0, 1) + 1, 0, 1, TRUE) - SUM(D10:D11), "")</f>
        <v>0.32578741240256326</v>
      </c>
      <c r="E9" s="52">
        <f>IFERROR(_xlfn.NORM.DIST(_xlfn.NORM.INV(SUM(E10:E11), 0, 1) + 1, 0, 1, TRUE) - SUM(E10:E11), "")</f>
        <v>0.28990346065224554</v>
      </c>
      <c r="F9" s="52">
        <f>IFERROR(_xlfn.NORM.DIST(_xlfn.NORM.INV(SUM(F10:F11), 0, 1) + 1, 0, 1, TRUE) - SUM(F10:F11), "")</f>
        <v>0.25022808261579293</v>
      </c>
      <c r="G9" s="52">
        <f>IFERROR(_xlfn.NORM.DIST(_xlfn.NORM.INV(SUM(G10:G11), 0, 1) + 1, 0, 1, TRUE) - SUM(G10:G11), "")</f>
        <v>0.15772439622190906</v>
      </c>
    </row>
    <row r="10" spans="1:15" ht="15.75" customHeight="1" x14ac:dyDescent="0.25">
      <c r="B10" s="5" t="s">
        <v>109</v>
      </c>
      <c r="C10" s="45">
        <v>8.0079399999999995E-2</v>
      </c>
      <c r="D10" s="53">
        <v>8.0079399999999995E-2</v>
      </c>
      <c r="E10" s="53">
        <v>6.7815399999999998E-2</v>
      </c>
      <c r="F10" s="53">
        <v>5.0678099999999997E-2</v>
      </c>
      <c r="G10" s="53">
        <v>2.08116E-2</v>
      </c>
    </row>
    <row r="11" spans="1:15" ht="15.75" customHeight="1" x14ac:dyDescent="0.25">
      <c r="B11" s="5" t="s">
        <v>110</v>
      </c>
      <c r="C11" s="45">
        <v>5.7157699999999999E-2</v>
      </c>
      <c r="D11" s="53">
        <v>5.7157699999999999E-2</v>
      </c>
      <c r="E11" s="53">
        <v>3.2828000000000003E-2</v>
      </c>
      <c r="F11" s="53">
        <v>2.1228400000000001E-2</v>
      </c>
      <c r="G11" s="53">
        <v>8.6904000000000009E-3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0.90404206074999993</v>
      </c>
      <c r="D14" s="54">
        <v>0.87950470141100001</v>
      </c>
      <c r="E14" s="54">
        <v>0.87950470141100001</v>
      </c>
      <c r="F14" s="54">
        <v>0.57788545592399998</v>
      </c>
      <c r="G14" s="54">
        <v>0.57788545592399998</v>
      </c>
      <c r="H14" s="45">
        <v>0.33500000000000002</v>
      </c>
      <c r="I14" s="55">
        <v>0.33500000000000002</v>
      </c>
      <c r="J14" s="55">
        <v>0.33500000000000002</v>
      </c>
      <c r="K14" s="55">
        <v>0.33500000000000002</v>
      </c>
      <c r="L14" s="45">
        <v>0.30299999999999999</v>
      </c>
      <c r="M14" s="55">
        <v>0.30299999999999999</v>
      </c>
      <c r="N14" s="55">
        <v>0.30299999999999999</v>
      </c>
      <c r="O14" s="55">
        <v>0.30299999999999999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0.53090231634368046</v>
      </c>
      <c r="D15" s="52">
        <f t="shared" si="0"/>
        <v>0.5164926539224155</v>
      </c>
      <c r="E15" s="52">
        <f t="shared" si="0"/>
        <v>0.5164926539224155</v>
      </c>
      <c r="F15" s="52">
        <f t="shared" si="0"/>
        <v>0.3393655455331927</v>
      </c>
      <c r="G15" s="52">
        <f t="shared" si="0"/>
        <v>0.3393655455331927</v>
      </c>
      <c r="H15" s="52">
        <f t="shared" si="0"/>
        <v>0.19673009000000002</v>
      </c>
      <c r="I15" s="52">
        <f t="shared" si="0"/>
        <v>0.19673009000000002</v>
      </c>
      <c r="J15" s="52">
        <f t="shared" si="0"/>
        <v>0.19673009000000002</v>
      </c>
      <c r="K15" s="52">
        <f t="shared" si="0"/>
        <v>0.19673009000000002</v>
      </c>
      <c r="L15" s="52">
        <f t="shared" si="0"/>
        <v>0.17793796200000001</v>
      </c>
      <c r="M15" s="52">
        <f t="shared" si="0"/>
        <v>0.17793796200000001</v>
      </c>
      <c r="N15" s="52">
        <f t="shared" si="0"/>
        <v>0.17793796200000001</v>
      </c>
      <c r="O15" s="52">
        <f t="shared" si="0"/>
        <v>0.17793796200000001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0.55160949999999997</v>
      </c>
      <c r="D2" s="53">
        <v>0.31436900000000001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0.26624439999999999</v>
      </c>
      <c r="D3" s="53">
        <v>0.36587259999999999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0.12542239999999999</v>
      </c>
      <c r="D4" s="53">
        <v>0.27279639999999999</v>
      </c>
      <c r="E4" s="53">
        <v>0.90193730000000005</v>
      </c>
      <c r="F4" s="53">
        <v>0.57143710000000003</v>
      </c>
      <c r="G4" s="53">
        <v>0</v>
      </c>
    </row>
    <row r="5" spans="1:7" x14ac:dyDescent="0.25">
      <c r="B5" s="3" t="s">
        <v>122</v>
      </c>
      <c r="C5" s="52">
        <v>5.6723700000000002E-2</v>
      </c>
      <c r="D5" s="52">
        <v>4.6961899999999987E-2</v>
      </c>
      <c r="E5" s="52">
        <f>1-SUM(E2:E4)</f>
        <v>9.8062699999999947E-2</v>
      </c>
      <c r="F5" s="52">
        <f>1-SUM(F2:F4)</f>
        <v>0.42856289999999997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BF4F65-6966-4FF9-A7CD-6DB5A89079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A00A056-B1F9-4155-BC18-A331E19644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e2aea6-bdc3-4e5f-b0ae-84d85b5764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2024-03-26T05:16:10Z</dcterms:modified>
</cp:coreProperties>
</file>