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C31E8121-A6BD-4631-9E70-9DF64FB10D86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<sst xmlns="http://schemas.openxmlformats.org/spreadsheetml/2006/main" count="2092" uniqueCount="341">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</sst>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4795294.9375</v>
      </c>
    </row>
    <row r="8" spans="1:3" ht="15" customHeight="1" x14ac:dyDescent="0.25">
      <c r="B8" s="5" t="s">
        <v>8</v>
      </c>
      <c r="C8" s="44">
        <v>0.188</v>
      </c>
    </row>
    <row r="9" spans="1:3" ht="15" customHeight="1" x14ac:dyDescent="0.25">
      <c r="B9" s="5" t="s">
        <v>9</v>
      </c>
      <c r="C9" s="45">
        <v>0.47</v>
      </c>
    </row>
    <row r="10" spans="1:3" ht="15" customHeight="1" x14ac:dyDescent="0.25">
      <c r="B10" s="5" t="s">
        <v>10</v>
      </c>
      <c r="C10" s="45">
        <v>0.39787429809570302</v>
      </c>
    </row>
    <row r="11" spans="1:3" ht="15" customHeight="1" x14ac:dyDescent="0.25">
      <c r="B11" s="5" t="s">
        <v>11</v>
      </c>
      <c r="C11" s="45">
        <v>0.251</v>
      </c>
    </row>
    <row r="12" spans="1:3" ht="15" customHeight="1" x14ac:dyDescent="0.25">
      <c r="B12" s="5" t="s">
        <v>12</v>
      </c>
      <c r="C12" s="45">
        <v>0.34</v>
      </c>
    </row>
    <row r="13" spans="1:3" ht="15" customHeight="1" x14ac:dyDescent="0.25">
      <c r="B13" s="5" t="s">
        <v>13</v>
      </c>
      <c r="C13" s="45">
        <v>0.53100000000000003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8.5299999999999987E-2</v>
      </c>
    </row>
    <row r="24" spans="1:3" ht="15" customHeight="1" x14ac:dyDescent="0.25">
      <c r="B24" s="15" t="s">
        <v>22</v>
      </c>
      <c r="C24" s="45">
        <v>0.48899999999999999</v>
      </c>
    </row>
    <row r="25" spans="1:3" ht="15" customHeight="1" x14ac:dyDescent="0.25">
      <c r="B25" s="15" t="s">
        <v>23</v>
      </c>
      <c r="C25" s="45">
        <v>0.35580000000000001</v>
      </c>
    </row>
    <row r="26" spans="1:3" ht="15" customHeight="1" x14ac:dyDescent="0.25">
      <c r="B26" s="15" t="s">
        <v>24</v>
      </c>
      <c r="C26" s="45">
        <v>0.1099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0.206672123736343</v>
      </c>
    </row>
    <row r="30" spans="1:3" ht="14.25" customHeight="1" x14ac:dyDescent="0.25">
      <c r="B30" s="25" t="s">
        <v>27</v>
      </c>
      <c r="C30" s="99">
        <v>0.111375096799569</v>
      </c>
    </row>
    <row r="31" spans="1:3" ht="14.25" customHeight="1" x14ac:dyDescent="0.25">
      <c r="B31" s="25" t="s">
        <v>28</v>
      </c>
      <c r="C31" s="99">
        <v>0.12654954787338499</v>
      </c>
    </row>
    <row r="32" spans="1:3" ht="14.25" customHeight="1" x14ac:dyDescent="0.25">
      <c r="B32" s="25" t="s">
        <v>29</v>
      </c>
      <c r="C32" s="99">
        <v>0.55540323159070293</v>
      </c>
    </row>
    <row r="33" spans="1:5" ht="13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28.3093</v>
      </c>
    </row>
    <row r="38" spans="1:5" ht="15" customHeight="1" x14ac:dyDescent="0.25">
      <c r="B38" s="11" t="s">
        <v>34</v>
      </c>
      <c r="C38" s="43">
        <v>46.654730000000001</v>
      </c>
      <c r="D38" s="12"/>
      <c r="E38" s="13"/>
    </row>
    <row r="39" spans="1:5" ht="15" customHeight="1" x14ac:dyDescent="0.25">
      <c r="B39" s="11" t="s">
        <v>35</v>
      </c>
      <c r="C39" s="43">
        <v>61.908940000000001</v>
      </c>
      <c r="D39" s="12"/>
      <c r="E39" s="12"/>
    </row>
    <row r="40" spans="1:5" ht="15" customHeight="1" x14ac:dyDescent="0.25">
      <c r="B40" s="11" t="s">
        <v>36</v>
      </c>
      <c r="C40" s="100">
        <v>1.83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23.41929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7.4885000000000004E-3</v>
      </c>
      <c r="D45" s="12"/>
    </row>
    <row r="46" spans="1:5" ht="15.75" customHeight="1" x14ac:dyDescent="0.25">
      <c r="B46" s="11" t="s">
        <v>41</v>
      </c>
      <c r="C46" s="45">
        <v>8.0462399999999989E-2</v>
      </c>
      <c r="D46" s="12"/>
    </row>
    <row r="47" spans="1:5" ht="15.75" customHeight="1" x14ac:dyDescent="0.25">
      <c r="B47" s="11" t="s">
        <v>42</v>
      </c>
      <c r="C47" s="45">
        <v>7.3879500000000001E-2</v>
      </c>
      <c r="D47" s="12"/>
      <c r="E47" s="13"/>
    </row>
    <row r="48" spans="1:5" ht="15" customHeight="1" x14ac:dyDescent="0.25">
      <c r="B48" s="11" t="s">
        <v>43</v>
      </c>
      <c r="C48" s="46">
        <v>0.83816959999999996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0.53084200000000004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4.6075012290499998E-2</v>
      </c>
      <c r="C2" s="98">
        <v>0.95</v>
      </c>
      <c r="D2" s="56">
        <v>37.913661484151682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42.521345352857793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99.033477395463237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0.3705821075861872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13.539057252878379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13.539057252878379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13.539057252878379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13.539057252878379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13.539057252878379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13.539057252878379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0.14743851573639999</v>
      </c>
      <c r="C16" s="98">
        <v>0.95</v>
      </c>
      <c r="D16" s="56">
        <v>0.27829999072845568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2.377996240315416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2.377996240315416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0.18614800000000001</v>
      </c>
      <c r="C21" s="98">
        <v>0.95</v>
      </c>
      <c r="D21" s="56">
        <v>3.202185552868094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23.103382705538191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4.8132400000000013E-2</v>
      </c>
      <c r="C23" s="98">
        <v>0.95</v>
      </c>
      <c r="D23" s="56">
        <v>4.4606327668435339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0.22546645150568001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5.9075259358000003E-2</v>
      </c>
      <c r="C27" s="98">
        <v>0.95</v>
      </c>
      <c r="D27" s="56">
        <v>19.540666812356982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0.25274740000000001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67.736851795235324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4.3271061521497272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8.6708300000000002E-2</v>
      </c>
      <c r="C32" s="98">
        <v>0.95</v>
      </c>
      <c r="D32" s="56">
        <v>0.54641342226979839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0.54844760000000004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3.9110999999999998E-3</v>
      </c>
      <c r="C38" s="98">
        <v>0.95</v>
      </c>
      <c r="D38" s="56">
        <v>8.7522201431810966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0.21297360000000001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0.28287662000000002</v>
      </c>
      <c r="C3" s="21">
        <f>frac_mam_1_5months * 2.6</f>
        <v>0.28287662000000002</v>
      </c>
      <c r="D3" s="21">
        <f>frac_mam_6_11months * 2.6</f>
        <v>0.38958035999999996</v>
      </c>
      <c r="E3" s="21">
        <f>frac_mam_12_23months * 2.6</f>
        <v>0.35258417999999997</v>
      </c>
      <c r="F3" s="21">
        <f>frac_mam_24_59months * 2.6</f>
        <v>0.24604996000000001</v>
      </c>
    </row>
    <row r="4" spans="1:6" ht="15.75" customHeight="1" x14ac:dyDescent="0.25">
      <c r="A4" s="3" t="s">
        <v>205</v>
      </c>
      <c r="B4" s="21">
        <f>frac_sam_1month * 2.6</f>
        <v>0.23901852000000001</v>
      </c>
      <c r="C4" s="21">
        <f>frac_sam_1_5months * 2.6</f>
        <v>0.23901852000000001</v>
      </c>
      <c r="D4" s="21">
        <f>frac_sam_6_11months * 2.6</f>
        <v>0.26478997999999998</v>
      </c>
      <c r="E4" s="21">
        <f>frac_sam_12_23months * 2.6</f>
        <v>0.16372720000000002</v>
      </c>
      <c r="F4" s="21">
        <f>frac_sam_24_59months * 2.6</f>
        <v>9.3341560000000004E-2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0.188</v>
      </c>
      <c r="E2" s="60">
        <f>food_insecure</f>
        <v>0.188</v>
      </c>
      <c r="F2" s="60">
        <f>food_insecure</f>
        <v>0.188</v>
      </c>
      <c r="G2" s="60">
        <f>food_insecure</f>
        <v>0.188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0.188</v>
      </c>
      <c r="F5" s="60">
        <f>food_insecure</f>
        <v>0.188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0.188</v>
      </c>
      <c r="F8" s="60">
        <f>food_insecure</f>
        <v>0.188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0.188</v>
      </c>
      <c r="F9" s="60">
        <f>food_insecure</f>
        <v>0.188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0.34</v>
      </c>
      <c r="E10" s="60">
        <f>IF(ISBLANK(comm_deliv), frac_children_health_facility,1)</f>
        <v>0.34</v>
      </c>
      <c r="F10" s="60">
        <f>IF(ISBLANK(comm_deliv), frac_children_health_facility,1)</f>
        <v>0.34</v>
      </c>
      <c r="G10" s="60">
        <f>IF(ISBLANK(comm_deliv), frac_children_health_facility,1)</f>
        <v>0.34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0.188</v>
      </c>
      <c r="I15" s="60">
        <f>food_insecure</f>
        <v>0.188</v>
      </c>
      <c r="J15" s="60">
        <f>food_insecure</f>
        <v>0.188</v>
      </c>
      <c r="K15" s="60">
        <f>food_insecure</f>
        <v>0.188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0.251</v>
      </c>
      <c r="I18" s="60">
        <f>frac_PW_health_facility</f>
        <v>0.251</v>
      </c>
      <c r="J18" s="60">
        <f>frac_PW_health_facility</f>
        <v>0.251</v>
      </c>
      <c r="K18" s="60">
        <f>frac_PW_health_facility</f>
        <v>0.251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0.47</v>
      </c>
      <c r="I19" s="60">
        <f>frac_malaria_risk</f>
        <v>0.47</v>
      </c>
      <c r="J19" s="60">
        <f>frac_malaria_risk</f>
        <v>0.47</v>
      </c>
      <c r="K19" s="60">
        <f>frac_malaria_risk</f>
        <v>0.47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0.53100000000000003</v>
      </c>
      <c r="M24" s="60">
        <f>famplan_unmet_need</f>
        <v>0.53100000000000003</v>
      </c>
      <c r="N24" s="60">
        <f>famplan_unmet_need</f>
        <v>0.53100000000000003</v>
      </c>
      <c r="O24" s="60">
        <f>famplan_unmet_need</f>
        <v>0.53100000000000003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0.31881351664428714</v>
      </c>
      <c r="M25" s="60">
        <f>(1-food_insecure)*(0.49)+food_insecure*(0.7)</f>
        <v>0.52947999999999995</v>
      </c>
      <c r="N25" s="60">
        <f>(1-food_insecure)*(0.49)+food_insecure*(0.7)</f>
        <v>0.52947999999999995</v>
      </c>
      <c r="O25" s="60">
        <f>(1-food_insecure)*(0.49)+food_insecure*(0.7)</f>
        <v>0.52947999999999995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0.13663436427612308</v>
      </c>
      <c r="M26" s="60">
        <f>(1-food_insecure)*(0.21)+food_insecure*(0.3)</f>
        <v>0.22692000000000001</v>
      </c>
      <c r="N26" s="60">
        <f>(1-food_insecure)*(0.21)+food_insecure*(0.3)</f>
        <v>0.22692000000000001</v>
      </c>
      <c r="O26" s="60">
        <f>(1-food_insecure)*(0.21)+food_insecure*(0.3)</f>
        <v>0.22692000000000001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0.14667782098388674</v>
      </c>
      <c r="M27" s="60">
        <f>(1-food_insecure)*(0.3)</f>
        <v>0.24360000000000001</v>
      </c>
      <c r="N27" s="60">
        <f>(1-food_insecure)*(0.3)</f>
        <v>0.24360000000000001</v>
      </c>
      <c r="O27" s="60">
        <f>(1-food_insecure)*(0.3)</f>
        <v>0.24360000000000001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0.39787429809570307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0.47</v>
      </c>
      <c r="D34" s="60">
        <f t="shared" si="3"/>
        <v>0.47</v>
      </c>
      <c r="E34" s="60">
        <f t="shared" si="3"/>
        <v>0.47</v>
      </c>
      <c r="F34" s="60">
        <f t="shared" si="3"/>
        <v>0.47</v>
      </c>
      <c r="G34" s="60">
        <f t="shared" si="3"/>
        <v>0.47</v>
      </c>
      <c r="H34" s="60">
        <f t="shared" si="3"/>
        <v>0.47</v>
      </c>
      <c r="I34" s="60">
        <f t="shared" si="3"/>
        <v>0.47</v>
      </c>
      <c r="J34" s="60">
        <f t="shared" si="3"/>
        <v>0.47</v>
      </c>
      <c r="K34" s="60">
        <f t="shared" si="3"/>
        <v>0.47</v>
      </c>
      <c r="L34" s="60">
        <f t="shared" si="3"/>
        <v>0.47</v>
      </c>
      <c r="M34" s="60">
        <f t="shared" si="3"/>
        <v>0.47</v>
      </c>
      <c r="N34" s="60">
        <f t="shared" si="3"/>
        <v>0.47</v>
      </c>
      <c r="O34" s="60">
        <f t="shared" si="3"/>
        <v>0.47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886853.03519999993</v>
      </c>
      <c r="C2" s="49">
        <v>1709000</v>
      </c>
      <c r="D2" s="49">
        <v>2962000</v>
      </c>
      <c r="E2" s="49">
        <v>2453000</v>
      </c>
      <c r="F2" s="49">
        <v>1496000</v>
      </c>
      <c r="G2" s="17">
        <f t="shared" ref="G2:G13" si="0">C2+D2+E2+F2</f>
        <v>8620000</v>
      </c>
      <c r="H2" s="17">
        <f t="shared" ref="H2:H13" si="1">(B2 + stillbirth*B2/(1000-stillbirth))/(1-abortion)</f>
        <v>1031955.1980501437</v>
      </c>
      <c r="I2" s="17">
        <f t="shared" ref="I2:I13" si="2">G2-H2</f>
        <v>7588044.8019498568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885775.473</v>
      </c>
      <c r="C3" s="50">
        <v>1744000</v>
      </c>
      <c r="D3" s="50">
        <v>2997000</v>
      </c>
      <c r="E3" s="50">
        <v>2526000</v>
      </c>
      <c r="F3" s="50">
        <v>1583000</v>
      </c>
      <c r="G3" s="17">
        <f t="shared" si="0"/>
        <v>8850000</v>
      </c>
      <c r="H3" s="17">
        <f t="shared" si="1"/>
        <v>1030701.3308710553</v>
      </c>
      <c r="I3" s="17">
        <f t="shared" si="2"/>
        <v>7819298.6691289451</v>
      </c>
    </row>
    <row r="4" spans="1:9" ht="15.75" customHeight="1" x14ac:dyDescent="0.25">
      <c r="A4" s="5">
        <f t="shared" si="3"/>
        <v>2026</v>
      </c>
      <c r="B4" s="49">
        <v>886691.03399999999</v>
      </c>
      <c r="C4" s="50">
        <v>1779000</v>
      </c>
      <c r="D4" s="50">
        <v>3039000</v>
      </c>
      <c r="E4" s="50">
        <v>2589000</v>
      </c>
      <c r="F4" s="50">
        <v>1668000</v>
      </c>
      <c r="G4" s="17">
        <f t="shared" si="0"/>
        <v>9075000</v>
      </c>
      <c r="H4" s="17">
        <f t="shared" si="1"/>
        <v>1031766.6910779681</v>
      </c>
      <c r="I4" s="17">
        <f t="shared" si="2"/>
        <v>8043233.3089220319</v>
      </c>
    </row>
    <row r="5" spans="1:9" ht="15.75" customHeight="1" x14ac:dyDescent="0.25">
      <c r="A5" s="5">
        <f t="shared" si="3"/>
        <v>2027</v>
      </c>
      <c r="B5" s="49">
        <v>886925.00899999996</v>
      </c>
      <c r="C5" s="50">
        <v>1815000</v>
      </c>
      <c r="D5" s="50">
        <v>3088000</v>
      </c>
      <c r="E5" s="50">
        <v>2644000</v>
      </c>
      <c r="F5" s="50">
        <v>1754000</v>
      </c>
      <c r="G5" s="17">
        <f t="shared" si="0"/>
        <v>9301000</v>
      </c>
      <c r="H5" s="17">
        <f t="shared" si="1"/>
        <v>1032038.9478193675</v>
      </c>
      <c r="I5" s="17">
        <f t="shared" si="2"/>
        <v>8268961.0521806329</v>
      </c>
    </row>
    <row r="6" spans="1:9" ht="15.75" customHeight="1" x14ac:dyDescent="0.25">
      <c r="A6" s="5">
        <f t="shared" si="3"/>
        <v>2028</v>
      </c>
      <c r="B6" s="49">
        <v>886430.37199999997</v>
      </c>
      <c r="C6" s="50">
        <v>1850000</v>
      </c>
      <c r="D6" s="50">
        <v>3143000</v>
      </c>
      <c r="E6" s="50">
        <v>2691000</v>
      </c>
      <c r="F6" s="50">
        <v>1838000</v>
      </c>
      <c r="G6" s="17">
        <f t="shared" si="0"/>
        <v>9522000</v>
      </c>
      <c r="H6" s="17">
        <f t="shared" si="1"/>
        <v>1031463.3809519858</v>
      </c>
      <c r="I6" s="17">
        <f t="shared" si="2"/>
        <v>8490536.6190480143</v>
      </c>
    </row>
    <row r="7" spans="1:9" ht="15.75" customHeight="1" x14ac:dyDescent="0.25">
      <c r="A7" s="5">
        <f t="shared" si="3"/>
        <v>2029</v>
      </c>
      <c r="B7" s="49">
        <v>885237.35600000003</v>
      </c>
      <c r="C7" s="50">
        <v>1883000</v>
      </c>
      <c r="D7" s="50">
        <v>3203000</v>
      </c>
      <c r="E7" s="50">
        <v>2731000</v>
      </c>
      <c r="F7" s="50">
        <v>1926000</v>
      </c>
      <c r="G7" s="17">
        <f t="shared" si="0"/>
        <v>9743000</v>
      </c>
      <c r="H7" s="17">
        <f t="shared" si="1"/>
        <v>1030075.1700380103</v>
      </c>
      <c r="I7" s="17">
        <f t="shared" si="2"/>
        <v>8712924.8299619891</v>
      </c>
    </row>
    <row r="8" spans="1:9" ht="15.75" customHeight="1" x14ac:dyDescent="0.25">
      <c r="A8" s="5">
        <f t="shared" si="3"/>
        <v>2030</v>
      </c>
      <c r="B8" s="49">
        <v>883302.29500000004</v>
      </c>
      <c r="C8" s="50">
        <v>1911000</v>
      </c>
      <c r="D8" s="50">
        <v>3264000</v>
      </c>
      <c r="E8" s="50">
        <v>2767000</v>
      </c>
      <c r="F8" s="50">
        <v>2014000</v>
      </c>
      <c r="G8" s="17">
        <f t="shared" si="0"/>
        <v>9956000</v>
      </c>
      <c r="H8" s="17">
        <f t="shared" si="1"/>
        <v>1027823.50467945</v>
      </c>
      <c r="I8" s="17">
        <f t="shared" si="2"/>
        <v>8928176.4953205492</v>
      </c>
    </row>
    <row r="9" spans="1:9" ht="15.75" customHeight="1" x14ac:dyDescent="0.25">
      <c r="A9" s="5">
        <f t="shared" si="3"/>
        <v>2031</v>
      </c>
      <c r="B9" s="49">
        <v>882795.04640000011</v>
      </c>
      <c r="C9" s="50">
        <v>1939857.142857143</v>
      </c>
      <c r="D9" s="50">
        <v>3307142.8571428568</v>
      </c>
      <c r="E9" s="50">
        <v>2811857.1428571432</v>
      </c>
      <c r="F9" s="50">
        <v>2088000</v>
      </c>
      <c r="G9" s="17">
        <f t="shared" si="0"/>
        <v>10146857.142857144</v>
      </c>
      <c r="H9" s="17">
        <f t="shared" si="1"/>
        <v>1027233.2627693509</v>
      </c>
      <c r="I9" s="17">
        <f t="shared" si="2"/>
        <v>9119623.8800877929</v>
      </c>
    </row>
    <row r="10" spans="1:9" ht="15.75" customHeight="1" x14ac:dyDescent="0.25">
      <c r="A10" s="5">
        <f t="shared" si="3"/>
        <v>2032</v>
      </c>
      <c r="B10" s="49">
        <v>882369.27117142873</v>
      </c>
      <c r="C10" s="50">
        <v>1967836.7346938781</v>
      </c>
      <c r="D10" s="50">
        <v>3351448.9795918372</v>
      </c>
      <c r="E10" s="50">
        <v>2852693.8775510201</v>
      </c>
      <c r="F10" s="50">
        <v>2160142.8571428568</v>
      </c>
      <c r="G10" s="17">
        <f t="shared" si="0"/>
        <v>10332122.448979592</v>
      </c>
      <c r="H10" s="17">
        <f t="shared" si="1"/>
        <v>1026737.8244691074</v>
      </c>
      <c r="I10" s="17">
        <f t="shared" si="2"/>
        <v>9305384.6245104838</v>
      </c>
    </row>
    <row r="11" spans="1:9" ht="15.75" customHeight="1" x14ac:dyDescent="0.25">
      <c r="A11" s="5">
        <f t="shared" si="3"/>
        <v>2033</v>
      </c>
      <c r="B11" s="49">
        <v>881751.87648163282</v>
      </c>
      <c r="C11" s="50">
        <v>1994813.4110787171</v>
      </c>
      <c r="D11" s="50">
        <v>3396084.5481049558</v>
      </c>
      <c r="E11" s="50">
        <v>2890364.4314868799</v>
      </c>
      <c r="F11" s="50">
        <v>2230448.9795918372</v>
      </c>
      <c r="G11" s="17">
        <f t="shared" si="0"/>
        <v>10511711.37026239</v>
      </c>
      <c r="H11" s="17">
        <f t="shared" si="1"/>
        <v>1026019.4149535558</v>
      </c>
      <c r="I11" s="17">
        <f t="shared" si="2"/>
        <v>9485691.9553088341</v>
      </c>
    </row>
    <row r="12" spans="1:9" ht="15.75" customHeight="1" x14ac:dyDescent="0.25">
      <c r="A12" s="5">
        <f t="shared" si="3"/>
        <v>2034</v>
      </c>
      <c r="B12" s="49">
        <v>881012.85755043756</v>
      </c>
      <c r="C12" s="50">
        <v>2020501.0412328199</v>
      </c>
      <c r="D12" s="50">
        <v>3440096.6264056638</v>
      </c>
      <c r="E12" s="50">
        <v>2925559.3502707202</v>
      </c>
      <c r="F12" s="50">
        <v>2298513.1195335281</v>
      </c>
      <c r="G12" s="17">
        <f t="shared" si="0"/>
        <v>10684670.137442732</v>
      </c>
      <c r="H12" s="17">
        <f t="shared" si="1"/>
        <v>1025159.4816870114</v>
      </c>
      <c r="I12" s="17">
        <f t="shared" si="2"/>
        <v>9659510.655755721</v>
      </c>
    </row>
    <row r="13" spans="1:9" ht="15.75" customHeight="1" x14ac:dyDescent="0.25">
      <c r="A13" s="5">
        <f t="shared" si="3"/>
        <v>2035</v>
      </c>
      <c r="B13" s="49">
        <v>880238.92691478576</v>
      </c>
      <c r="C13" s="50">
        <v>2044858.332837509</v>
      </c>
      <c r="D13" s="50">
        <v>3482539.0016064728</v>
      </c>
      <c r="E13" s="50">
        <v>2959067.8288808232</v>
      </c>
      <c r="F13" s="50">
        <v>2364300.708038318</v>
      </c>
      <c r="G13" s="17">
        <f t="shared" si="0"/>
        <v>10850765.871363122</v>
      </c>
      <c r="H13" s="17">
        <f t="shared" si="1"/>
        <v>1024258.9246491579</v>
      </c>
      <c r="I13" s="17">
        <f t="shared" si="2"/>
        <v>9826506.9467139635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0.56497576160950158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0.50589139958522988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0.84269879207563514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0.80855261089759112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0.84269879207563514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0.80855261089759112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0.36467152741959241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0.31153355816319644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0.80543527960876526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0.76545152391578608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0.80543527960876526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0.76545152391578608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0.8936295944848478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0.86881818056181781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0.88076052116099723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0.8534396414213884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0.88076052116099723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0.8534396414213884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0.77411339507567212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1.9833151046773551E-2</v>
      </c>
    </row>
    <row r="4" spans="1:8" ht="15.75" customHeight="1" x14ac:dyDescent="0.25">
      <c r="B4" s="19" t="s">
        <v>69</v>
      </c>
      <c r="C4" s="101">
        <v>6.3894030924347367E-2</v>
      </c>
    </row>
    <row r="5" spans="1:8" ht="15.75" customHeight="1" x14ac:dyDescent="0.25">
      <c r="B5" s="19" t="s">
        <v>70</v>
      </c>
      <c r="C5" s="101">
        <v>9.4246268158946475E-2</v>
      </c>
    </row>
    <row r="6" spans="1:8" ht="15.75" customHeight="1" x14ac:dyDescent="0.25">
      <c r="B6" s="19" t="s">
        <v>71</v>
      </c>
      <c r="C6" s="101">
        <v>0.23881032694278609</v>
      </c>
    </row>
    <row r="7" spans="1:8" ht="15.75" customHeight="1" x14ac:dyDescent="0.25">
      <c r="B7" s="19" t="s">
        <v>72</v>
      </c>
      <c r="C7" s="101">
        <v>0.3871881532303128</v>
      </c>
    </row>
    <row r="8" spans="1:8" ht="15.75" customHeight="1" x14ac:dyDescent="0.25">
      <c r="B8" s="19" t="s">
        <v>73</v>
      </c>
      <c r="C8" s="101">
        <v>5.8535036070138371E-3</v>
      </c>
    </row>
    <row r="9" spans="1:8" ht="15.75" customHeight="1" x14ac:dyDescent="0.25">
      <c r="B9" s="19" t="s">
        <v>74</v>
      </c>
      <c r="C9" s="101">
        <v>7.3348498268419438E-2</v>
      </c>
    </row>
    <row r="10" spans="1:8" ht="15.75" customHeight="1" x14ac:dyDescent="0.25">
      <c r="B10" s="19" t="s">
        <v>75</v>
      </c>
      <c r="C10" s="101">
        <v>0.1168260678214004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0.1616009186664322</v>
      </c>
      <c r="D14" s="55">
        <v>0.1616009186664322</v>
      </c>
      <c r="E14" s="55">
        <v>0.1616009186664322</v>
      </c>
      <c r="F14" s="55">
        <v>0.1616009186664322</v>
      </c>
    </row>
    <row r="15" spans="1:8" ht="15.75" customHeight="1" x14ac:dyDescent="0.25">
      <c r="B15" s="19" t="s">
        <v>82</v>
      </c>
      <c r="C15" s="101">
        <v>0.27365859402163978</v>
      </c>
      <c r="D15" s="101">
        <v>0.27365859402163978</v>
      </c>
      <c r="E15" s="101">
        <v>0.27365859402163978</v>
      </c>
      <c r="F15" s="101">
        <v>0.27365859402163978</v>
      </c>
    </row>
    <row r="16" spans="1:8" ht="15.75" customHeight="1" x14ac:dyDescent="0.25">
      <c r="B16" s="19" t="s">
        <v>83</v>
      </c>
      <c r="C16" s="101">
        <v>2.222332884681676E-2</v>
      </c>
      <c r="D16" s="101">
        <v>2.222332884681676E-2</v>
      </c>
      <c r="E16" s="101">
        <v>2.222332884681676E-2</v>
      </c>
      <c r="F16" s="101">
        <v>2.222332884681676E-2</v>
      </c>
    </row>
    <row r="17" spans="1:8" ht="15.75" customHeight="1" x14ac:dyDescent="0.25">
      <c r="B17" s="19" t="s">
        <v>84</v>
      </c>
      <c r="C17" s="101">
        <v>0.1003526665338539</v>
      </c>
      <c r="D17" s="101">
        <v>0.1003526665338539</v>
      </c>
      <c r="E17" s="101">
        <v>0.1003526665338539</v>
      </c>
      <c r="F17" s="101">
        <v>0.1003526665338539</v>
      </c>
    </row>
    <row r="18" spans="1:8" ht="15.75" customHeight="1" x14ac:dyDescent="0.25">
      <c r="B18" s="19" t="s">
        <v>85</v>
      </c>
      <c r="C18" s="101">
        <v>2.0039177190359449E-2</v>
      </c>
      <c r="D18" s="101">
        <v>2.0039177190359449E-2</v>
      </c>
      <c r="E18" s="101">
        <v>2.0039177190359449E-2</v>
      </c>
      <c r="F18" s="101">
        <v>2.0039177190359449E-2</v>
      </c>
    </row>
    <row r="19" spans="1:8" ht="15.75" customHeight="1" x14ac:dyDescent="0.25">
      <c r="B19" s="19" t="s">
        <v>86</v>
      </c>
      <c r="C19" s="101">
        <v>9.4281445679250536E-2</v>
      </c>
      <c r="D19" s="101">
        <v>9.4281445679250536E-2</v>
      </c>
      <c r="E19" s="101">
        <v>9.4281445679250536E-2</v>
      </c>
      <c r="F19" s="101">
        <v>9.4281445679250536E-2</v>
      </c>
    </row>
    <row r="20" spans="1:8" ht="15.75" customHeight="1" x14ac:dyDescent="0.25">
      <c r="B20" s="19" t="s">
        <v>87</v>
      </c>
      <c r="C20" s="101">
        <v>2.3085155710167449E-3</v>
      </c>
      <c r="D20" s="101">
        <v>2.3085155710167449E-3</v>
      </c>
      <c r="E20" s="101">
        <v>2.3085155710167449E-3</v>
      </c>
      <c r="F20" s="101">
        <v>2.3085155710167449E-3</v>
      </c>
    </row>
    <row r="21" spans="1:8" ht="15.75" customHeight="1" x14ac:dyDescent="0.25">
      <c r="B21" s="19" t="s">
        <v>88</v>
      </c>
      <c r="C21" s="101">
        <v>0.1079376948710801</v>
      </c>
      <c r="D21" s="101">
        <v>0.1079376948710801</v>
      </c>
      <c r="E21" s="101">
        <v>0.1079376948710801</v>
      </c>
      <c r="F21" s="101">
        <v>0.1079376948710801</v>
      </c>
    </row>
    <row r="22" spans="1:8" ht="15.75" customHeight="1" x14ac:dyDescent="0.25">
      <c r="B22" s="19" t="s">
        <v>89</v>
      </c>
      <c r="C22" s="101">
        <v>0.21759765861955049</v>
      </c>
      <c r="D22" s="101">
        <v>0.21759765861955049</v>
      </c>
      <c r="E22" s="101">
        <v>0.21759765861955049</v>
      </c>
      <c r="F22" s="101">
        <v>0.21759765861955049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4.5856951999999999E-2</v>
      </c>
    </row>
    <row r="27" spans="1:8" ht="15.75" customHeight="1" x14ac:dyDescent="0.25">
      <c r="B27" s="19" t="s">
        <v>92</v>
      </c>
      <c r="C27" s="101">
        <v>2.7671261999999999E-2</v>
      </c>
    </row>
    <row r="28" spans="1:8" ht="15.75" customHeight="1" x14ac:dyDescent="0.25">
      <c r="B28" s="19" t="s">
        <v>93</v>
      </c>
      <c r="C28" s="101">
        <v>0.19152286900000001</v>
      </c>
    </row>
    <row r="29" spans="1:8" ht="15.75" customHeight="1" x14ac:dyDescent="0.25">
      <c r="B29" s="19" t="s">
        <v>94</v>
      </c>
      <c r="C29" s="101">
        <v>0.15015504499999999</v>
      </c>
    </row>
    <row r="30" spans="1:8" ht="15.75" customHeight="1" x14ac:dyDescent="0.25">
      <c r="B30" s="19" t="s">
        <v>95</v>
      </c>
      <c r="C30" s="101">
        <v>5.0148384999999997E-2</v>
      </c>
    </row>
    <row r="31" spans="1:8" ht="15.75" customHeight="1" x14ac:dyDescent="0.25">
      <c r="B31" s="19" t="s">
        <v>96</v>
      </c>
      <c r="C31" s="101">
        <v>3.0652005E-2</v>
      </c>
    </row>
    <row r="32" spans="1:8" ht="15.75" customHeight="1" x14ac:dyDescent="0.25">
      <c r="B32" s="19" t="s">
        <v>97</v>
      </c>
      <c r="C32" s="101">
        <v>8.6489898999999995E-2</v>
      </c>
    </row>
    <row r="33" spans="2:3" ht="15.75" customHeight="1" x14ac:dyDescent="0.25">
      <c r="B33" s="19" t="s">
        <v>98</v>
      </c>
      <c r="C33" s="101">
        <v>0.168218437</v>
      </c>
    </row>
    <row r="34" spans="2:3" ht="15.75" customHeight="1" x14ac:dyDescent="0.25">
      <c r="B34" s="19" t="s">
        <v>99</v>
      </c>
      <c r="C34" s="101">
        <v>0.24928514500000001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0.42782970117659869</v>
      </c>
      <c r="D2" s="52">
        <f>IFERROR(1-_xlfn.NORM.DIST(_xlfn.NORM.INV(SUM(D4:D5), 0, 1) + 1, 0, 1, TRUE), "")</f>
        <v>0.42782970117659869</v>
      </c>
      <c r="E2" s="52">
        <f>IFERROR(1-_xlfn.NORM.DIST(_xlfn.NORM.INV(SUM(E4:E5), 0, 1) + 1, 0, 1, TRUE), "")</f>
        <v>0.34990422303700064</v>
      </c>
      <c r="F2" s="52">
        <f>IFERROR(1-_xlfn.NORM.DIST(_xlfn.NORM.INV(SUM(F4:F5), 0, 1) + 1, 0, 1, TRUE), "")</f>
        <v>0.20938718272721368</v>
      </c>
      <c r="G2" s="52">
        <f>IFERROR(1-_xlfn.NORM.DIST(_xlfn.NORM.INV(SUM(G4:G5), 0, 1) + 1, 0, 1, TRUE), "")</f>
        <v>0.12626396115884453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0.36551959882340129</v>
      </c>
      <c r="D3" s="52">
        <f>IFERROR(_xlfn.NORM.DIST(_xlfn.NORM.INV(SUM(D4:D5), 0, 1) + 1, 0, 1, TRUE) - SUM(D4:D5), "")</f>
        <v>0.36551959882340129</v>
      </c>
      <c r="E3" s="52">
        <f>IFERROR(_xlfn.NORM.DIST(_xlfn.NORM.INV(SUM(E4:E5), 0, 1) + 1, 0, 1, TRUE) - SUM(E4:E5), "")</f>
        <v>0.38062717696299936</v>
      </c>
      <c r="F3" s="52">
        <f>IFERROR(_xlfn.NORM.DIST(_xlfn.NORM.INV(SUM(F4:F5), 0, 1) + 1, 0, 1, TRUE) - SUM(F4:F5), "")</f>
        <v>0.36652651727278629</v>
      </c>
      <c r="G3" s="52">
        <f>IFERROR(_xlfn.NORM.DIST(_xlfn.NORM.INV(SUM(G4:G5), 0, 1) + 1, 0, 1, TRUE) - SUM(G4:G5), "")</f>
        <v>0.31639513884115544</v>
      </c>
    </row>
    <row r="4" spans="1:15" ht="15.75" customHeight="1" x14ac:dyDescent="0.25">
      <c r="B4" s="5" t="s">
        <v>104</v>
      </c>
      <c r="C4" s="45">
        <v>0.1133638</v>
      </c>
      <c r="D4" s="53">
        <v>0.1133638</v>
      </c>
      <c r="E4" s="53">
        <v>0.1598974</v>
      </c>
      <c r="F4" s="53">
        <v>0.21475839999999999</v>
      </c>
      <c r="G4" s="53">
        <v>0.2754298</v>
      </c>
    </row>
    <row r="5" spans="1:15" ht="15.75" customHeight="1" x14ac:dyDescent="0.25">
      <c r="B5" s="5" t="s">
        <v>105</v>
      </c>
      <c r="C5" s="45">
        <v>9.3286900000000006E-2</v>
      </c>
      <c r="D5" s="53">
        <v>9.3286900000000006E-2</v>
      </c>
      <c r="E5" s="53">
        <v>0.10957119999999999</v>
      </c>
      <c r="F5" s="53">
        <v>0.20932790000000001</v>
      </c>
      <c r="G5" s="53">
        <v>0.28191110000000003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0.43605477751718369</v>
      </c>
      <c r="D8" s="52">
        <f>IFERROR(1-_xlfn.NORM.DIST(_xlfn.NORM.INV(SUM(D10:D11), 0, 1) + 1, 0, 1, TRUE), "")</f>
        <v>0.43605477751718369</v>
      </c>
      <c r="E8" s="52">
        <f>IFERROR(1-_xlfn.NORM.DIST(_xlfn.NORM.INV(SUM(E10:E11), 0, 1) + 1, 0, 1, TRUE), "")</f>
        <v>0.37040139645377845</v>
      </c>
      <c r="F8" s="52">
        <f>IFERROR(1-_xlfn.NORM.DIST(_xlfn.NORM.INV(SUM(F10:F11), 0, 1) + 1, 0, 1, TRUE), "")</f>
        <v>0.43908067971337172</v>
      </c>
      <c r="G8" s="52">
        <f>IFERROR(1-_xlfn.NORM.DIST(_xlfn.NORM.INV(SUM(G10:G11), 0, 1) + 1, 0, 1, TRUE), "")</f>
        <v>0.54928882523301181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0.36321632248281632</v>
      </c>
      <c r="D9" s="52">
        <f>IFERROR(_xlfn.NORM.DIST(_xlfn.NORM.INV(SUM(D10:D11), 0, 1) + 1, 0, 1, TRUE) - SUM(D10:D11), "")</f>
        <v>0.36321632248281632</v>
      </c>
      <c r="E9" s="52">
        <f>IFERROR(_xlfn.NORM.DIST(_xlfn.NORM.INV(SUM(E10:E11), 0, 1) + 1, 0, 1, TRUE) - SUM(E10:E11), "")</f>
        <v>0.37791770354622156</v>
      </c>
      <c r="F9" s="52">
        <f>IFERROR(_xlfn.NORM.DIST(_xlfn.NORM.INV(SUM(F10:F11), 0, 1) + 1, 0, 1, TRUE) - SUM(F10:F11), "")</f>
        <v>0.36233802028662832</v>
      </c>
      <c r="G9" s="52">
        <f>IFERROR(_xlfn.NORM.DIST(_xlfn.NORM.INV(SUM(G10:G11), 0, 1) + 1, 0, 1, TRUE) - SUM(G10:G11), "")</f>
        <v>0.32017597476698823</v>
      </c>
    </row>
    <row r="10" spans="1:15" ht="15.75" customHeight="1" x14ac:dyDescent="0.25">
      <c r="B10" s="5" t="s">
        <v>109</v>
      </c>
      <c r="C10" s="45">
        <v>0.1087987</v>
      </c>
      <c r="D10" s="53">
        <v>0.1087987</v>
      </c>
      <c r="E10" s="53">
        <v>0.14983859999999999</v>
      </c>
      <c r="F10" s="53">
        <v>0.13560929999999999</v>
      </c>
      <c r="G10" s="53">
        <v>9.4634599999999999E-2</v>
      </c>
    </row>
    <row r="11" spans="1:15" ht="15.75" customHeight="1" x14ac:dyDescent="0.25">
      <c r="B11" s="5" t="s">
        <v>110</v>
      </c>
      <c r="C11" s="45">
        <v>9.1930200000000004E-2</v>
      </c>
      <c r="D11" s="53">
        <v>9.1930200000000004E-2</v>
      </c>
      <c r="E11" s="53">
        <v>0.1018423</v>
      </c>
      <c r="F11" s="53">
        <v>6.2972E-2</v>
      </c>
      <c r="G11" s="53">
        <v>3.5900599999999998E-2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0.97213777649999999</v>
      </c>
      <c r="D14" s="54">
        <v>0.97637391212799995</v>
      </c>
      <c r="E14" s="54">
        <v>0.97637391212799995</v>
      </c>
      <c r="F14" s="54">
        <v>0.93586611214799997</v>
      </c>
      <c r="G14" s="54">
        <v>0.93586611214799997</v>
      </c>
      <c r="H14" s="45">
        <v>0.63</v>
      </c>
      <c r="I14" s="55">
        <v>0.63</v>
      </c>
      <c r="J14" s="55">
        <v>0.63</v>
      </c>
      <c r="K14" s="55">
        <v>0.63</v>
      </c>
      <c r="L14" s="45">
        <v>0.70199999999999985</v>
      </c>
      <c r="M14" s="55">
        <v>0.70199999999999985</v>
      </c>
      <c r="N14" s="55">
        <v>0.70199999999999985</v>
      </c>
      <c r="O14" s="55">
        <v>0.70199999999999985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0.51605156155281307</v>
      </c>
      <c r="D15" s="52">
        <f t="shared" si="0"/>
        <v>0.51830028026185182</v>
      </c>
      <c r="E15" s="52">
        <f t="shared" si="0"/>
        <v>0.51830028026185182</v>
      </c>
      <c r="F15" s="52">
        <f t="shared" si="0"/>
        <v>0.49679703870486863</v>
      </c>
      <c r="G15" s="52">
        <f t="shared" si="0"/>
        <v>0.49679703870486863</v>
      </c>
      <c r="H15" s="52">
        <f t="shared" si="0"/>
        <v>0.33443046000000004</v>
      </c>
      <c r="I15" s="52">
        <f t="shared" si="0"/>
        <v>0.33443046000000004</v>
      </c>
      <c r="J15" s="52">
        <f t="shared" si="0"/>
        <v>0.33443046000000004</v>
      </c>
      <c r="K15" s="52">
        <f t="shared" si="0"/>
        <v>0.33443046000000004</v>
      </c>
      <c r="L15" s="52">
        <f t="shared" si="0"/>
        <v>0.37265108399999997</v>
      </c>
      <c r="M15" s="52">
        <f t="shared" si="0"/>
        <v>0.37265108399999997</v>
      </c>
      <c r="N15" s="52">
        <f t="shared" si="0"/>
        <v>0.37265108399999997</v>
      </c>
      <c r="O15" s="52">
        <f t="shared" si="0"/>
        <v>0.37265108399999997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0.20986089999999999</v>
      </c>
      <c r="D2" s="53">
        <v>8.6708300000000002E-2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0.41966379999999998</v>
      </c>
      <c r="D3" s="53">
        <v>0.27589580000000002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0.30791069999999998</v>
      </c>
      <c r="D4" s="53">
        <v>0.56925510000000001</v>
      </c>
      <c r="E4" s="53">
        <v>0.84019790000000005</v>
      </c>
      <c r="F4" s="53">
        <v>0.62839</v>
      </c>
      <c r="G4" s="53">
        <v>0</v>
      </c>
    </row>
    <row r="5" spans="1:7" x14ac:dyDescent="0.25">
      <c r="B5" s="3" t="s">
        <v>122</v>
      </c>
      <c r="C5" s="52">
        <v>6.2564599999999998E-2</v>
      </c>
      <c r="D5" s="52">
        <v>6.8140800000000001E-2</v>
      </c>
      <c r="E5" s="52">
        <f>1-SUM(E2:E4)</f>
        <v>0.15980209999999995</v>
      </c>
      <c r="F5" s="52">
        <f>1-SUM(F2:F4)</f>
        <v>0.37161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8BBB66-40CE-47F5-957A-49905BC6616F}"/>
</file>

<file path=customXml/itemProps2.xml><?xml version="1.0" encoding="utf-8"?>
<ds:datastoreItem xmlns:ds="http://schemas.openxmlformats.org/officeDocument/2006/customXml" ds:itemID="{CC826E63-CA52-46AE-831A-9DD5FA8720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2024-03-26T04:25:24Z</dcterms:modified>
</cp:coreProperties>
</file>