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autoCompressPictures="0"/>
  <bookViews>
    <workbookView xWindow="0" yWindow="0" windowWidth="20730" windowHeight="8610" tabRatio="933" firstSheet="1" activeTab="3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35" i="4" l="1"/>
  <c r="F23" i="4"/>
  <c r="E23" i="4"/>
  <c r="D23" i="4"/>
  <c r="C23" i="4"/>
  <c r="C11" i="4"/>
  <c r="B1" i="56"/>
  <c r="C48" i="1"/>
  <c r="C33" i="1"/>
  <c r="G2" i="2" l="1"/>
  <c r="H2" i="2"/>
  <c r="G3" i="2"/>
  <c r="H3" i="2"/>
  <c r="G4" i="2"/>
  <c r="H4" i="2"/>
  <c r="G5" i="2"/>
  <c r="H5" i="2"/>
  <c r="I5" i="2" l="1"/>
  <c r="I2" i="2"/>
  <c r="I3" i="2"/>
  <c r="I4" i="2"/>
  <c r="D6" i="57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6" i="2"/>
  <c r="H7" i="2"/>
  <c r="H8" i="2"/>
  <c r="H9" i="2"/>
  <c r="H10" i="2"/>
  <c r="H11" i="2"/>
  <c r="H12" i="2"/>
  <c r="H13" i="2"/>
  <c r="G6" i="2" l="1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<sst xmlns="http://schemas.openxmlformats.org/spreadsheetml/2006/main" count="386" uniqueCount="214">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</sst>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0" fontId="0" fillId="0" borderId="0" xfId="0" applyNumberFormat="1" applyFont="1" applyAlignment="1"/>
    <xf numFmtId="0" fontId="5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6" fillId="0" borderId="0" xfId="0" applyFont="1" applyAlignment="1">
      <alignment wrapText="1"/>
    </xf>
    <xf numFmtId="164" fontId="6" fillId="2" borderId="1" xfId="0" applyNumberFormat="1" applyFont="1" applyFill="1" applyBorder="1" applyAlignment="1"/>
    <xf numFmtId="164" fontId="11" fillId="3" borderId="1" xfId="9" applyNumberFormat="1" applyFont="1" applyFill="1" applyBorder="1" applyAlignment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wrapText="1"/>
    </xf>
    <xf numFmtId="165" fontId="11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wrapText="1"/>
    </xf>
    <xf numFmtId="166" fontId="6" fillId="2" borderId="1" xfId="0" applyNumberFormat="1" applyFont="1" applyFill="1" applyBorder="1" applyAlignment="1">
      <alignment horizontal="right"/>
    </xf>
    <xf numFmtId="166" fontId="6" fillId="0" borderId="0" xfId="0" applyNumberFormat="1" applyFont="1" applyAlignment="1"/>
    <xf numFmtId="0" fontId="5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wrapText="1"/>
    </xf>
    <xf numFmtId="0" fontId="14" fillId="0" borderId="0" xfId="0" applyFont="1" applyAlignment="1">
      <alignment horizontal="right" vertical="center"/>
    </xf>
    <xf numFmtId="166" fontId="11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6" fillId="0" borderId="0" xfId="725" applyFont="1" applyAlignment="1"/>
    <xf numFmtId="0" fontId="6" fillId="0" borderId="0" xfId="725" applyFont="1" applyFill="1" applyAlignment="1"/>
    <xf numFmtId="0" fontId="6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10" fillId="0" borderId="0" xfId="725" applyFont="1" applyAlignment="1"/>
    <xf numFmtId="0" fontId="18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725" applyFont="1" applyAlignment="1"/>
    <xf numFmtId="0" fontId="6" fillId="0" borderId="2" xfId="725" applyFont="1" applyBorder="1" applyAlignment="1"/>
    <xf numFmtId="0" fontId="6" fillId="0" borderId="0" xfId="725" applyFont="1" applyBorder="1" applyAlignment="1"/>
    <xf numFmtId="166" fontId="6" fillId="2" borderId="1" xfId="725" applyNumberFormat="1" applyFont="1" applyFill="1" applyBorder="1" applyAlignment="1">
      <alignment horizontal="right" vertical="center"/>
    </xf>
    <xf numFmtId="0" fontId="10" fillId="0" borderId="6" xfId="725" applyFont="1" applyBorder="1" applyAlignment="1"/>
    <xf numFmtId="0" fontId="10" fillId="0" borderId="5" xfId="725" applyFont="1" applyBorder="1" applyAlignment="1"/>
    <xf numFmtId="0" fontId="10" fillId="0" borderId="1" xfId="725" applyFont="1" applyBorder="1" applyAlignment="1"/>
    <xf numFmtId="0" fontId="5" fillId="0" borderId="0" xfId="726" applyFont="1" applyFill="1" applyAlignment="1">
      <alignment horizontal="right"/>
    </xf>
    <xf numFmtId="9" fontId="5" fillId="2" borderId="1" xfId="725" applyNumberFormat="1" applyFont="1" applyFill="1" applyBorder="1" applyAlignment="1"/>
    <xf numFmtId="2" fontId="5" fillId="2" borderId="1" xfId="725" applyNumberFormat="1" applyFont="1" applyFill="1" applyBorder="1" applyAlignment="1"/>
    <xf numFmtId="0" fontId="4" fillId="0" borderId="0" xfId="725" applyFont="1" applyAlignment="1">
      <alignment wrapText="1"/>
    </xf>
    <xf numFmtId="0" fontId="4" fillId="0" borderId="0" xfId="725" applyFont="1" applyFill="1" applyAlignment="1"/>
    <xf numFmtId="0" fontId="3" fillId="0" borderId="0" xfId="726"/>
    <xf numFmtId="2" fontId="3" fillId="0" borderId="0" xfId="726" applyNumberFormat="1"/>
    <xf numFmtId="0" fontId="3" fillId="0" borderId="0" xfId="726" applyFont="1" applyAlignment="1"/>
    <xf numFmtId="0" fontId="19" fillId="0" borderId="0" xfId="726" applyFont="1"/>
    <xf numFmtId="0" fontId="10" fillId="0" borderId="0" xfId="726" applyFont="1" applyAlignment="1"/>
    <xf numFmtId="0" fontId="10" fillId="0" borderId="0" xfId="726" applyFont="1" applyAlignment="1">
      <alignment wrapText="1"/>
    </xf>
    <xf numFmtId="0" fontId="10" fillId="0" borderId="0" xfId="0" applyFont="1" applyFill="1" applyAlignment="1"/>
    <xf numFmtId="0" fontId="6" fillId="0" borderId="0" xfId="725" applyFont="1" applyFill="1" applyAlignment="1">
      <alignment horizontal="right"/>
    </xf>
    <xf numFmtId="0" fontId="23" fillId="0" borderId="0" xfId="0" applyFont="1" applyFill="1" applyAlignment="1"/>
    <xf numFmtId="0" fontId="10" fillId="0" borderId="2" xfId="725" applyFont="1" applyBorder="1" applyAlignment="1"/>
    <xf numFmtId="0" fontId="6" fillId="2" borderId="1" xfId="10" applyNumberFormat="1" applyFont="1" applyFill="1" applyBorder="1" applyAlignment="1">
      <alignment horizontal="right"/>
    </xf>
    <xf numFmtId="0" fontId="6" fillId="2" borderId="1" xfId="10" applyNumberFormat="1" applyFont="1" applyFill="1" applyBorder="1" applyAlignment="1"/>
    <xf numFmtId="0" fontId="6" fillId="2" borderId="1" xfId="725" applyNumberFormat="1" applyFont="1" applyFill="1" applyBorder="1" applyAlignment="1">
      <alignment horizontal="right" vertical="center"/>
    </xf>
    <xf numFmtId="0" fontId="22" fillId="3" borderId="4" xfId="725" applyNumberFormat="1" applyFont="1" applyFill="1" applyBorder="1" applyAlignment="1"/>
    <xf numFmtId="0" fontId="6" fillId="3" borderId="3" xfId="725" applyNumberFormat="1" applyFont="1" applyFill="1" applyBorder="1" applyAlignment="1"/>
    <xf numFmtId="0" fontId="6" fillId="3" borderId="2" xfId="725" applyNumberFormat="1" applyFont="1" applyFill="1" applyBorder="1" applyAlignment="1"/>
    <xf numFmtId="0" fontId="6" fillId="0" borderId="0" xfId="725" applyNumberFormat="1" applyFont="1" applyAlignment="1"/>
    <xf numFmtId="164" fontId="6" fillId="2" borderId="1" xfId="9" applyNumberFormat="1" applyFont="1" applyFill="1" applyBorder="1" applyAlignment="1">
      <alignment horizontal="center"/>
    </xf>
    <xf numFmtId="164" fontId="6" fillId="2" borderId="1" xfId="9" applyNumberFormat="1" applyFont="1" applyFill="1" applyBorder="1" applyAlignment="1"/>
    <xf numFmtId="10" fontId="5" fillId="2" borderId="1" xfId="10" applyNumberFormat="1" applyFont="1" applyFill="1" applyBorder="1" applyAlignment="1">
      <alignment horizontal="right"/>
    </xf>
    <xf numFmtId="10" fontId="6" fillId="2" borderId="2" xfId="1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4" fillId="4" borderId="0" xfId="726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6" fillId="0" borderId="0" xfId="727" applyFont="1" applyFill="1"/>
    <xf numFmtId="0" fontId="27" fillId="0" borderId="0" xfId="727" applyFont="1" applyFill="1"/>
    <xf numFmtId="0" fontId="0" fillId="0" borderId="0" xfId="0"/>
    <xf numFmtId="0" fontId="28" fillId="0" borderId="0" xfId="0" applyFont="1"/>
    <xf numFmtId="167" fontId="6" fillId="0" borderId="0" xfId="0" applyNumberFormat="1" applyFont="1" applyAlignment="1"/>
    <xf numFmtId="166" fontId="0" fillId="0" borderId="0" xfId="0" applyNumberFormat="1"/>
    <xf numFmtId="166" fontId="0" fillId="0" borderId="0" xfId="0" applyNumberFormat="1" applyFont="1" applyAlignment="1"/>
    <xf numFmtId="166" fontId="6" fillId="0" borderId="0" xfId="10" applyNumberFormat="1" applyFont="1" applyAlignment="1"/>
    <xf numFmtId="0" fontId="29" fillId="0" borderId="0" xfId="0" applyFont="1" applyAlignment="1"/>
    <xf numFmtId="2" fontId="11" fillId="2" borderId="1" xfId="725" applyNumberFormat="1" applyFont="1" applyFill="1" applyBorder="1" applyAlignment="1"/>
    <xf numFmtId="0" fontId="11" fillId="2" borderId="1" xfId="725" applyFont="1" applyFill="1" applyBorder="1" applyAlignment="1"/>
    <xf numFmtId="2" fontId="11" fillId="2" borderId="1" xfId="725" quotePrefix="1" applyNumberFormat="1" applyFont="1" applyFill="1" applyBorder="1" applyAlignment="1"/>
    <xf numFmtId="167" fontId="6" fillId="0" borderId="0" xfId="0" applyNumberFormat="1" applyFont="1" applyFill="1" applyBorder="1" applyAlignment="1"/>
    <xf numFmtId="0" fontId="28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66" fontId="0" fillId="2" borderId="1" xfId="10" applyNumberFormat="1" applyFont="1" applyFill="1" applyBorder="1"/>
    <xf numFmtId="166" fontId="6" fillId="2" borderId="1" xfId="10" applyNumberFormat="1" applyFont="1" applyFill="1" applyBorder="1" applyAlignment="1"/>
    <xf numFmtId="166" fontId="0" fillId="2" borderId="1" xfId="10" applyNumberFormat="1" applyFont="1" applyFill="1" applyBorder="1" applyAlignment="1"/>
    <xf numFmtId="167" fontId="6" fillId="2" borderId="1" xfId="0" applyNumberFormat="1" applyFont="1" applyFill="1" applyBorder="1" applyAlignment="1"/>
    <xf numFmtId="0" fontId="6" fillId="0" borderId="0" xfId="0" applyNumberFormat="1" applyFont="1" applyAlignment="1"/>
    <xf numFmtId="166" fontId="6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6" fontId="0" fillId="2" borderId="1" xfId="0" applyNumberFormat="1" applyFill="1" applyBorder="1"/>
    <xf numFmtId="166" fontId="1" fillId="2" borderId="1" xfId="10" applyNumberFormat="1" applyFont="1" applyFill="1" applyBorder="1"/>
    <xf numFmtId="0" fontId="4" fillId="0" borderId="0" xfId="0" applyFont="1" applyFill="1" applyAlignment="1">
      <alignment horizontal="right"/>
    </xf>
    <xf numFmtId="9" fontId="11" fillId="3" borderId="1" xfId="10" applyFont="1" applyFill="1" applyBorder="1" applyAlignment="1">
      <alignment horizontal="right"/>
    </xf>
    <xf numFmtId="9" fontId="11" fillId="3" borderId="1" xfId="10" applyFont="1" applyFill="1" applyBorder="1" applyAlignment="1"/>
    <xf numFmtId="9" fontId="6" fillId="2" borderId="1" xfId="725" applyNumberFormat="1" applyFont="1" applyFill="1" applyBorder="1" applyAlignment="1"/>
    <xf numFmtId="0" fontId="4" fillId="0" borderId="0" xfId="725" applyFont="1" applyFill="1" applyAlignment="1">
      <alignment wrapText="1"/>
    </xf>
    <xf numFmtId="0" fontId="23" fillId="0" borderId="0" xfId="0" applyFont="1" applyAlignment="1">
      <alignment horizontal="right" vertical="center"/>
    </xf>
    <xf numFmtId="0" fontId="23" fillId="0" borderId="0" xfId="0" applyFont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2578125" defaultRowHeight="12.75" x14ac:dyDescent="0.2"/>
  <cols>
    <col min="1" max="16384" width="11.42578125" style="38"/>
  </cols>
  <sheetData>
    <row r="1" spans="1:1" x14ac:dyDescent="0.2">
      <c r="A1" s="38" t="s">
        <v>204</v>
      </c>
    </row>
    <row r="2" spans="1:1" x14ac:dyDescent="0.2">
      <c r="A2" s="38" t="s">
        <v>209</v>
      </c>
    </row>
    <row r="3" spans="1:1" x14ac:dyDescent="0.2">
      <c r="A3" s="38" t="s">
        <v>210</v>
      </c>
    </row>
    <row r="4" spans="1:1" x14ac:dyDescent="0.2">
      <c r="A4" s="38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42578125" defaultRowHeight="15.75" customHeight="1" x14ac:dyDescent="0.2"/>
  <cols>
    <col min="1" max="1" width="56" style="53" customWidth="1"/>
    <col min="2" max="2" width="14.42578125" style="38"/>
    <col min="3" max="3" width="20.42578125" style="38" customWidth="1"/>
    <col min="4" max="4" width="20.140625" style="38" customWidth="1"/>
    <col min="5" max="5" width="12.140625" style="38" customWidth="1"/>
    <col min="6" max="16384" width="14.42578125" style="38"/>
  </cols>
  <sheetData>
    <row r="1" spans="1:6" ht="56.65" customHeight="1" x14ac:dyDescent="0.2">
      <c r="A1" s="57" t="s">
        <v>69</v>
      </c>
      <c r="B1" s="112" t="str">
        <f>"Baseline ("&amp;start_year&amp;") coverage"</f>
        <v>Baseline (2017) coverage</v>
      </c>
      <c r="C1" s="56" t="s">
        <v>200</v>
      </c>
      <c r="D1" s="56" t="s">
        <v>205</v>
      </c>
      <c r="E1" s="56" t="s">
        <v>206</v>
      </c>
    </row>
    <row r="2" spans="1:6" ht="15.75" customHeight="1" x14ac:dyDescent="0.2">
      <c r="A2" s="53" t="s">
        <v>29</v>
      </c>
      <c r="B2" s="111">
        <v>0</v>
      </c>
      <c r="C2" s="54">
        <v>0.95</v>
      </c>
      <c r="D2" s="55">
        <v>25</v>
      </c>
      <c r="E2" s="55" t="s">
        <v>204</v>
      </c>
    </row>
    <row r="3" spans="1:6" ht="15.75" customHeight="1" x14ac:dyDescent="0.2">
      <c r="A3" s="53" t="s">
        <v>86</v>
      </c>
      <c r="B3" s="111">
        <v>0</v>
      </c>
      <c r="C3" s="54">
        <v>0.95</v>
      </c>
      <c r="D3" s="55">
        <v>1</v>
      </c>
      <c r="E3" s="55" t="s">
        <v>204</v>
      </c>
    </row>
    <row r="4" spans="1:6" ht="15.75" customHeight="1" x14ac:dyDescent="0.2">
      <c r="A4" s="53" t="s">
        <v>61</v>
      </c>
      <c r="B4" s="111">
        <v>0</v>
      </c>
      <c r="C4" s="54">
        <v>0.95</v>
      </c>
      <c r="D4" s="55">
        <f>180</f>
        <v>180</v>
      </c>
      <c r="E4" s="55" t="s">
        <v>204</v>
      </c>
    </row>
    <row r="5" spans="1:6" ht="15.75" customHeight="1" x14ac:dyDescent="0.2">
      <c r="A5" s="53" t="s">
        <v>149</v>
      </c>
      <c r="B5" s="54">
        <v>0</v>
      </c>
      <c r="C5" s="54">
        <v>0.95</v>
      </c>
      <c r="D5" s="55">
        <v>1</v>
      </c>
      <c r="E5" s="55" t="s">
        <v>204</v>
      </c>
    </row>
    <row r="6" spans="1:6" ht="15.75" customHeight="1" x14ac:dyDescent="0.2">
      <c r="A6" s="80" t="s">
        <v>197</v>
      </c>
      <c r="B6" s="99">
        <v>0.12</v>
      </c>
      <c r="C6" s="54">
        <v>0.95</v>
      </c>
      <c r="D6" s="91">
        <f>SUM('Programs family planning'!E2:E10)</f>
        <v>0.82100000000000006</v>
      </c>
      <c r="E6" s="55" t="s">
        <v>204</v>
      </c>
    </row>
    <row r="7" spans="1:6" ht="15.75" customHeight="1" x14ac:dyDescent="0.2">
      <c r="A7" s="53" t="s">
        <v>63</v>
      </c>
      <c r="B7" s="111">
        <v>0</v>
      </c>
      <c r="C7" s="54">
        <v>0.95</v>
      </c>
      <c r="D7" s="55">
        <v>0.82</v>
      </c>
      <c r="E7" s="55" t="s">
        <v>204</v>
      </c>
    </row>
    <row r="8" spans="1:6" ht="15.75" customHeight="1" x14ac:dyDescent="0.2">
      <c r="A8" s="53" t="s">
        <v>64</v>
      </c>
      <c r="B8" s="54">
        <v>0</v>
      </c>
      <c r="C8" s="54">
        <v>0.95</v>
      </c>
      <c r="D8" s="55">
        <v>0.75</v>
      </c>
      <c r="E8" s="55" t="s">
        <v>204</v>
      </c>
    </row>
    <row r="9" spans="1:6" ht="15.75" customHeight="1" x14ac:dyDescent="0.2">
      <c r="A9" s="53" t="s">
        <v>62</v>
      </c>
      <c r="B9" s="54">
        <v>0</v>
      </c>
      <c r="C9" s="54">
        <v>0.95</v>
      </c>
      <c r="D9" s="55">
        <v>0.19</v>
      </c>
      <c r="E9" s="55" t="s">
        <v>204</v>
      </c>
    </row>
    <row r="10" spans="1:6" ht="15.75" customHeight="1" x14ac:dyDescent="0.2">
      <c r="A10" s="65" t="s">
        <v>186</v>
      </c>
      <c r="B10" s="111">
        <v>0</v>
      </c>
      <c r="C10" s="54">
        <v>0.95</v>
      </c>
      <c r="D10" s="55">
        <v>0.73</v>
      </c>
      <c r="E10" s="55" t="s">
        <v>204</v>
      </c>
    </row>
    <row r="11" spans="1:6" ht="15.75" customHeight="1" x14ac:dyDescent="0.2">
      <c r="A11" s="65" t="s">
        <v>207</v>
      </c>
      <c r="B11" s="111">
        <v>0</v>
      </c>
      <c r="C11" s="54">
        <v>0.95</v>
      </c>
      <c r="D11" s="55">
        <v>1.78</v>
      </c>
      <c r="E11" s="55" t="s">
        <v>204</v>
      </c>
    </row>
    <row r="12" spans="1:6" ht="15.75" customHeight="1" x14ac:dyDescent="0.2">
      <c r="A12" s="65" t="s">
        <v>188</v>
      </c>
      <c r="B12" s="111">
        <v>0</v>
      </c>
      <c r="C12" s="54">
        <v>0.95</v>
      </c>
      <c r="D12" s="55">
        <v>0.24</v>
      </c>
      <c r="E12" s="55" t="s">
        <v>204</v>
      </c>
    </row>
    <row r="13" spans="1:6" ht="15.75" customHeight="1" x14ac:dyDescent="0.2">
      <c r="A13" s="65" t="s">
        <v>189</v>
      </c>
      <c r="B13" s="111">
        <v>0</v>
      </c>
      <c r="C13" s="54">
        <v>0.95</v>
      </c>
      <c r="D13" s="55">
        <v>0.55000000000000004</v>
      </c>
      <c r="E13" s="55" t="s">
        <v>204</v>
      </c>
    </row>
    <row r="14" spans="1:6" ht="15.75" customHeight="1" x14ac:dyDescent="0.2">
      <c r="A14" s="13" t="s">
        <v>185</v>
      </c>
      <c r="B14" s="111">
        <v>0</v>
      </c>
      <c r="C14" s="54">
        <v>0.95</v>
      </c>
      <c r="D14" s="55">
        <v>0.73</v>
      </c>
      <c r="E14" s="55" t="s">
        <v>204</v>
      </c>
    </row>
    <row r="15" spans="1:6" ht="15.75" customHeight="1" x14ac:dyDescent="0.25">
      <c r="A15" s="81" t="s">
        <v>208</v>
      </c>
      <c r="B15" s="99">
        <v>0.61399999999999999</v>
      </c>
      <c r="C15" s="54">
        <v>0.95</v>
      </c>
      <c r="D15" s="55">
        <v>2</v>
      </c>
      <c r="E15" s="55" t="s">
        <v>204</v>
      </c>
      <c r="F15" s="85"/>
    </row>
    <row r="16" spans="1:6" ht="15.75" customHeight="1" x14ac:dyDescent="0.2">
      <c r="A16" s="80" t="s">
        <v>57</v>
      </c>
      <c r="B16" s="99">
        <v>0.43700000000000006</v>
      </c>
      <c r="C16" s="54">
        <v>0.95</v>
      </c>
      <c r="D16" s="55">
        <v>2.1800000000000002</v>
      </c>
      <c r="E16" s="55" t="s">
        <v>204</v>
      </c>
    </row>
    <row r="17" spans="1:6" ht="15.75" customHeight="1" x14ac:dyDescent="0.25">
      <c r="A17" s="53" t="s">
        <v>47</v>
      </c>
      <c r="B17" s="111">
        <v>0</v>
      </c>
      <c r="C17" s="54">
        <v>0.95</v>
      </c>
      <c r="D17" s="55">
        <v>0.05</v>
      </c>
      <c r="E17" s="55" t="s">
        <v>204</v>
      </c>
      <c r="F17" s="85"/>
    </row>
    <row r="18" spans="1:6" ht="15.95" customHeight="1" x14ac:dyDescent="0.2">
      <c r="A18" s="53" t="s">
        <v>171</v>
      </c>
      <c r="B18" s="111">
        <v>0</v>
      </c>
      <c r="C18" s="54">
        <v>0.95</v>
      </c>
      <c r="D18" s="92">
        <v>5</v>
      </c>
      <c r="E18" s="55" t="s">
        <v>204</v>
      </c>
    </row>
    <row r="19" spans="1:6" ht="15.75" customHeight="1" x14ac:dyDescent="0.2">
      <c r="A19" s="53" t="s">
        <v>198</v>
      </c>
      <c r="B19" s="111">
        <v>0</v>
      </c>
      <c r="C19" s="54">
        <v>0.95</v>
      </c>
      <c r="D19" s="92">
        <f>SUMPRODUCT(('IYCF cost'!$C$2:$E$6)*('IYCF packages'!$C$9:$E$13&lt;&gt;""))</f>
        <v>4.8250000000000002</v>
      </c>
      <c r="E19" s="55" t="s">
        <v>204</v>
      </c>
    </row>
    <row r="20" spans="1:6" ht="15.75" customHeight="1" x14ac:dyDescent="0.2">
      <c r="A20" s="53" t="s">
        <v>199</v>
      </c>
      <c r="B20" s="111">
        <v>0</v>
      </c>
      <c r="C20" s="54">
        <v>0.95</v>
      </c>
      <c r="D20" s="92">
        <f>SUMPRODUCT(('IYCF cost'!$C$2:$E$6)*('IYCF packages'!$C$16:$E$20&lt;&gt;""))</f>
        <v>0.25</v>
      </c>
      <c r="E20" s="55" t="s">
        <v>204</v>
      </c>
    </row>
    <row r="21" spans="1:6" ht="15.75" customHeight="1" x14ac:dyDescent="0.2">
      <c r="A21" s="53" t="s">
        <v>195</v>
      </c>
      <c r="B21" s="111">
        <v>0</v>
      </c>
      <c r="C21" s="54">
        <v>0.95</v>
      </c>
      <c r="D21" s="55">
        <v>8.84</v>
      </c>
      <c r="E21" s="55" t="s">
        <v>204</v>
      </c>
    </row>
    <row r="22" spans="1:6" ht="15.75" customHeight="1" x14ac:dyDescent="0.2">
      <c r="A22" s="53" t="s">
        <v>136</v>
      </c>
      <c r="B22" s="111">
        <v>0</v>
      </c>
      <c r="C22" s="54">
        <v>0.95</v>
      </c>
      <c r="D22" s="55">
        <v>50</v>
      </c>
      <c r="E22" s="55" t="s">
        <v>204</v>
      </c>
    </row>
    <row r="23" spans="1:6" ht="15.75" customHeight="1" x14ac:dyDescent="0.2">
      <c r="A23" s="53" t="s">
        <v>34</v>
      </c>
      <c r="B23" s="111">
        <v>0</v>
      </c>
      <c r="C23" s="54">
        <v>0.95</v>
      </c>
      <c r="D23" s="55">
        <v>2.61</v>
      </c>
      <c r="E23" s="55" t="s">
        <v>204</v>
      </c>
    </row>
    <row r="24" spans="1:6" ht="15.75" customHeight="1" x14ac:dyDescent="0.2">
      <c r="A24" s="53" t="s">
        <v>88</v>
      </c>
      <c r="B24" s="111">
        <v>0</v>
      </c>
      <c r="C24" s="54">
        <v>0.95</v>
      </c>
      <c r="D24" s="55">
        <v>1</v>
      </c>
      <c r="E24" s="55" t="s">
        <v>204</v>
      </c>
    </row>
    <row r="25" spans="1:6" ht="15.75" customHeight="1" x14ac:dyDescent="0.2">
      <c r="A25" s="53" t="s">
        <v>87</v>
      </c>
      <c r="B25" s="111">
        <v>0</v>
      </c>
      <c r="C25" s="54">
        <v>0.95</v>
      </c>
      <c r="D25" s="55">
        <v>1</v>
      </c>
      <c r="E25" s="55" t="s">
        <v>204</v>
      </c>
    </row>
    <row r="26" spans="1:6" ht="15.75" customHeight="1" x14ac:dyDescent="0.2">
      <c r="A26" s="53" t="s">
        <v>137</v>
      </c>
      <c r="B26" s="111">
        <v>0</v>
      </c>
      <c r="C26" s="54">
        <v>0.95</v>
      </c>
      <c r="D26" s="55">
        <v>1</v>
      </c>
      <c r="E26" s="55" t="s">
        <v>204</v>
      </c>
    </row>
    <row r="27" spans="1:6" ht="15.75" customHeight="1" x14ac:dyDescent="0.2">
      <c r="A27" s="80" t="s">
        <v>59</v>
      </c>
      <c r="B27" s="111">
        <v>0</v>
      </c>
      <c r="C27" s="54">
        <v>0.95</v>
      </c>
      <c r="D27" s="55">
        <v>3.54</v>
      </c>
      <c r="E27" s="55" t="s">
        <v>204</v>
      </c>
    </row>
    <row r="28" spans="1:6" ht="15.75" customHeight="1" x14ac:dyDescent="0.2">
      <c r="A28" s="80" t="s">
        <v>84</v>
      </c>
      <c r="B28" s="99">
        <v>0.36599999999999999</v>
      </c>
      <c r="C28" s="54">
        <v>0.95</v>
      </c>
      <c r="D28" s="55">
        <v>1</v>
      </c>
      <c r="E28" s="55" t="s">
        <v>204</v>
      </c>
    </row>
    <row r="29" spans="1:6" ht="15.75" customHeight="1" x14ac:dyDescent="0.2">
      <c r="A29" s="53" t="s">
        <v>58</v>
      </c>
      <c r="B29" s="111">
        <v>0</v>
      </c>
      <c r="C29" s="54">
        <v>0.95</v>
      </c>
      <c r="D29" s="55">
        <v>40.25</v>
      </c>
      <c r="E29" s="55" t="s">
        <v>204</v>
      </c>
    </row>
    <row r="30" spans="1:6" ht="15.75" customHeight="1" x14ac:dyDescent="0.2">
      <c r="A30" s="53" t="s">
        <v>67</v>
      </c>
      <c r="B30" s="111">
        <v>0</v>
      </c>
      <c r="C30" s="54">
        <v>0.95</v>
      </c>
      <c r="D30" s="93">
        <f>162*AVERAGE('Incidence of conditions'!B4:F4) + 0*AVERAGE('Incidence of conditions'!B3:F3)*IF(ISBLANK(manage_mam), 0, 1)</f>
        <v>12.4146594</v>
      </c>
      <c r="E30" s="55" t="s">
        <v>204</v>
      </c>
    </row>
    <row r="31" spans="1:6" ht="15.75" customHeight="1" x14ac:dyDescent="0.25">
      <c r="A31" s="80" t="s">
        <v>28</v>
      </c>
      <c r="B31" s="99">
        <v>0.65400000000000003</v>
      </c>
      <c r="C31" s="54">
        <v>0.95</v>
      </c>
      <c r="D31" s="55">
        <v>0.55000000000000004</v>
      </c>
      <c r="E31" s="55" t="s">
        <v>204</v>
      </c>
      <c r="F31" s="85"/>
    </row>
    <row r="32" spans="1:6" ht="15.75" customHeight="1" x14ac:dyDescent="0.2">
      <c r="A32" s="53" t="s">
        <v>83</v>
      </c>
      <c r="B32" s="111">
        <v>0</v>
      </c>
      <c r="C32" s="54">
        <v>0.95</v>
      </c>
      <c r="D32" s="55">
        <v>1</v>
      </c>
      <c r="E32" s="55" t="s">
        <v>204</v>
      </c>
    </row>
    <row r="33" spans="1:5" ht="15.75" customHeight="1" x14ac:dyDescent="0.2">
      <c r="A33" s="53" t="s">
        <v>82</v>
      </c>
      <c r="B33" s="111">
        <v>0</v>
      </c>
      <c r="C33" s="54">
        <v>0.95</v>
      </c>
      <c r="D33" s="55">
        <v>2.8</v>
      </c>
      <c r="E33" s="55" t="s">
        <v>204</v>
      </c>
    </row>
    <row r="34" spans="1:5" ht="15.75" customHeight="1" x14ac:dyDescent="0.2">
      <c r="A34" s="53" t="s">
        <v>81</v>
      </c>
      <c r="B34" s="111">
        <v>0</v>
      </c>
      <c r="C34" s="54">
        <v>0.95</v>
      </c>
      <c r="D34" s="55">
        <v>50.26</v>
      </c>
      <c r="E34" s="55" t="s">
        <v>204</v>
      </c>
    </row>
    <row r="35" spans="1:5" ht="15.75" customHeight="1" x14ac:dyDescent="0.2">
      <c r="A35" s="53" t="s">
        <v>79</v>
      </c>
      <c r="B35" s="111">
        <v>0</v>
      </c>
      <c r="C35" s="54">
        <v>0.95</v>
      </c>
      <c r="D35" s="55">
        <v>36.1</v>
      </c>
      <c r="E35" s="55" t="s">
        <v>204</v>
      </c>
    </row>
    <row r="36" spans="1:5" s="39" customFormat="1" ht="15.75" customHeight="1" x14ac:dyDescent="0.2">
      <c r="A36" s="53" t="s">
        <v>80</v>
      </c>
      <c r="B36" s="111">
        <v>0</v>
      </c>
      <c r="C36" s="54">
        <v>0.95</v>
      </c>
      <c r="D36" s="55">
        <v>231.85</v>
      </c>
      <c r="E36" s="55" t="s">
        <v>204</v>
      </c>
    </row>
    <row r="37" spans="1:5" ht="15.75" customHeight="1" x14ac:dyDescent="0.2">
      <c r="A37" s="80" t="s">
        <v>85</v>
      </c>
      <c r="B37" s="100">
        <v>7.4999999999999997E-3</v>
      </c>
      <c r="C37" s="54">
        <v>0.95</v>
      </c>
      <c r="D37" s="55">
        <v>0.92</v>
      </c>
      <c r="E37" s="55" t="s">
        <v>204</v>
      </c>
    </row>
    <row r="38" spans="1:5" ht="15.75" customHeight="1" x14ac:dyDescent="0.2">
      <c r="A38" s="53" t="s">
        <v>60</v>
      </c>
      <c r="B38" s="111">
        <v>0</v>
      </c>
      <c r="C38" s="54">
        <v>0.95</v>
      </c>
      <c r="D38" s="55">
        <v>4.6100000000000003</v>
      </c>
      <c r="E38" s="55" t="s">
        <v>204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85546875" defaultRowHeight="15.75" x14ac:dyDescent="0.25"/>
  <cols>
    <col min="1" max="1" width="18.5703125" style="58" customWidth="1"/>
    <col min="2" max="16384" width="10.85546875" style="58"/>
  </cols>
  <sheetData>
    <row r="1" spans="1:5" ht="51.75" x14ac:dyDescent="0.25">
      <c r="A1" s="63" t="s">
        <v>194</v>
      </c>
      <c r="B1" s="62" t="s">
        <v>175</v>
      </c>
      <c r="C1" s="62" t="s">
        <v>174</v>
      </c>
      <c r="D1" s="62" t="s">
        <v>173</v>
      </c>
      <c r="E1" s="62" t="s">
        <v>172</v>
      </c>
    </row>
    <row r="2" spans="1:5" x14ac:dyDescent="0.25">
      <c r="A2" s="61" t="s">
        <v>164</v>
      </c>
      <c r="B2" s="60" t="s">
        <v>32</v>
      </c>
      <c r="C2" s="55">
        <f>1.5*0.61</f>
        <v>0.91500000000000004</v>
      </c>
      <c r="D2" s="55">
        <f>0.5*0.61</f>
        <v>0.30499999999999999</v>
      </c>
      <c r="E2" s="55">
        <v>0.05</v>
      </c>
    </row>
    <row r="3" spans="1:5" x14ac:dyDescent="0.25">
      <c r="A3" s="60"/>
      <c r="B3" s="60" t="s">
        <v>1</v>
      </c>
      <c r="C3" s="55">
        <f>1.5*0.61</f>
        <v>0.91500000000000004</v>
      </c>
      <c r="D3" s="55">
        <f>0.5*0.61</f>
        <v>0.30499999999999999</v>
      </c>
      <c r="E3" s="55">
        <v>0.05</v>
      </c>
    </row>
    <row r="4" spans="1:5" x14ac:dyDescent="0.25">
      <c r="A4" s="60"/>
      <c r="B4" s="60" t="s">
        <v>2</v>
      </c>
      <c r="C4" s="55">
        <f>1.5*0.61</f>
        <v>0.91500000000000004</v>
      </c>
      <c r="D4" s="55">
        <f>0.5*0.61</f>
        <v>0.30499999999999999</v>
      </c>
      <c r="E4" s="55">
        <v>0.05</v>
      </c>
    </row>
    <row r="5" spans="1:5" x14ac:dyDescent="0.25">
      <c r="A5" s="60"/>
      <c r="B5" s="60" t="s">
        <v>3</v>
      </c>
      <c r="C5" s="55">
        <f>1.5*0.61</f>
        <v>0.91500000000000004</v>
      </c>
      <c r="D5" s="55">
        <f>0.5*0.61</f>
        <v>0.30499999999999999</v>
      </c>
      <c r="E5" s="55">
        <v>0.05</v>
      </c>
    </row>
    <row r="6" spans="1:5" x14ac:dyDescent="0.25">
      <c r="A6" s="60"/>
      <c r="B6" s="60" t="s">
        <v>4</v>
      </c>
      <c r="C6" s="55">
        <f>1.5*0.61</f>
        <v>0.91500000000000004</v>
      </c>
      <c r="D6" s="55">
        <f>0.5*0.61</f>
        <v>0.30499999999999999</v>
      </c>
      <c r="E6" s="55">
        <v>0.05</v>
      </c>
    </row>
    <row r="9" spans="1:5" x14ac:dyDescent="0.25">
      <c r="C9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42578125" defaultRowHeight="12.75" x14ac:dyDescent="0.2"/>
  <cols>
    <col min="1" max="1" width="53" style="53" bestFit="1" customWidth="1"/>
    <col min="2" max="2" width="47.85546875" style="38" customWidth="1"/>
    <col min="3" max="3" width="42.42578125" style="38" customWidth="1"/>
    <col min="4" max="16384" width="11.42578125" style="38"/>
  </cols>
  <sheetData>
    <row r="1" spans="1:3" x14ac:dyDescent="0.2">
      <c r="A1" s="43" t="s">
        <v>69</v>
      </c>
      <c r="B1" s="43" t="s">
        <v>178</v>
      </c>
      <c r="C1" s="43" t="s">
        <v>177</v>
      </c>
    </row>
    <row r="2" spans="1:3" x14ac:dyDescent="0.2">
      <c r="A2" s="13" t="s">
        <v>185</v>
      </c>
      <c r="B2" s="49" t="s">
        <v>59</v>
      </c>
      <c r="C2" s="49"/>
    </row>
    <row r="3" spans="1:3" x14ac:dyDescent="0.2">
      <c r="A3" s="13" t="s">
        <v>190</v>
      </c>
      <c r="B3" s="49" t="s">
        <v>59</v>
      </c>
      <c r="C3" s="49"/>
    </row>
    <row r="4" spans="1:3" x14ac:dyDescent="0.2">
      <c r="A4" s="53" t="s">
        <v>58</v>
      </c>
      <c r="B4" s="49" t="s">
        <v>136</v>
      </c>
      <c r="C4" s="49"/>
    </row>
    <row r="5" spans="1:3" x14ac:dyDescent="0.2">
      <c r="A5" s="53" t="s">
        <v>137</v>
      </c>
      <c r="B5" s="49" t="s">
        <v>136</v>
      </c>
      <c r="C5" s="49"/>
    </row>
    <row r="11" spans="1:3" x14ac:dyDescent="0.2">
      <c r="A11" s="34"/>
    </row>
    <row r="12" spans="1:3" x14ac:dyDescent="0.2">
      <c r="A12" s="34"/>
    </row>
    <row r="13" spans="1:3" x14ac:dyDescent="0.2">
      <c r="A13" s="34"/>
    </row>
    <row r="14" spans="1:3" x14ac:dyDescent="0.2">
      <c r="A14" s="34"/>
    </row>
    <row r="15" spans="1:3" x14ac:dyDescent="0.2">
      <c r="A15" s="34"/>
    </row>
    <row r="16" spans="1:3" x14ac:dyDescent="0.2">
      <c r="A16" s="34"/>
    </row>
    <row r="17" spans="1:1" x14ac:dyDescent="0.2">
      <c r="A17" s="34"/>
    </row>
    <row r="18" spans="1:1" x14ac:dyDescent="0.2">
      <c r="A18" s="3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8" customWidth="1"/>
    <col min="2" max="16384" width="11.42578125" style="38"/>
  </cols>
  <sheetData>
    <row r="1" spans="1:1" x14ac:dyDescent="0.2">
      <c r="A1" s="43" t="s">
        <v>69</v>
      </c>
    </row>
    <row r="2" spans="1:1" x14ac:dyDescent="0.2">
      <c r="A2" s="49" t="s">
        <v>197</v>
      </c>
    </row>
    <row r="3" spans="1:1" x14ac:dyDescent="0.2">
      <c r="A3" s="49" t="s">
        <v>57</v>
      </c>
    </row>
    <row r="4" spans="1:1" x14ac:dyDescent="0.2">
      <c r="A4" s="49" t="s">
        <v>34</v>
      </c>
    </row>
    <row r="5" spans="1:1" x14ac:dyDescent="0.2">
      <c r="A5" s="49" t="s">
        <v>83</v>
      </c>
    </row>
    <row r="6" spans="1:1" x14ac:dyDescent="0.2">
      <c r="A6" s="49" t="s">
        <v>82</v>
      </c>
    </row>
    <row r="7" spans="1:1" x14ac:dyDescent="0.2">
      <c r="A7" s="49" t="s">
        <v>81</v>
      </c>
    </row>
    <row r="8" spans="1:1" x14ac:dyDescent="0.2">
      <c r="A8" s="49" t="s">
        <v>79</v>
      </c>
    </row>
    <row r="9" spans="1:1" x14ac:dyDescent="0.2">
      <c r="A9" s="49" t="s">
        <v>80</v>
      </c>
    </row>
    <row r="10" spans="1:1" x14ac:dyDescent="0.2">
      <c r="A10" s="49"/>
    </row>
    <row r="11" spans="1:1" x14ac:dyDescent="0.2">
      <c r="A11" s="49"/>
    </row>
    <row r="12" spans="1:1" x14ac:dyDescent="0.2">
      <c r="A12" s="49"/>
    </row>
    <row r="13" spans="1:1" x14ac:dyDescent="0.2">
      <c r="A13" s="49"/>
    </row>
    <row r="14" spans="1:1" x14ac:dyDescent="0.2">
      <c r="A14" s="49"/>
    </row>
    <row r="15" spans="1:1" x14ac:dyDescent="0.2">
      <c r="A15" s="49"/>
    </row>
    <row r="16" spans="1:1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">
      <c r="A3" s="3" t="s">
        <v>65</v>
      </c>
      <c r="B3" s="26">
        <f>frac_mam_1month * 2.6</f>
        <v>1.3750099999999999E-2</v>
      </c>
      <c r="C3" s="26">
        <f>frac_mam_1_5months * 2.6</f>
        <v>1.3750099999999999E-2</v>
      </c>
      <c r="D3" s="26">
        <f>frac_mam_6_11months * 2.6</f>
        <v>0.20492498000000003</v>
      </c>
      <c r="E3" s="26">
        <f>frac_mam_12_23months * 2.6</f>
        <v>4.5386900000000001E-2</v>
      </c>
      <c r="F3" s="26">
        <f>frac_mam_24_59months * 2.6</f>
        <v>0.12388012000000001</v>
      </c>
    </row>
    <row r="4" spans="1:6" ht="15.75" customHeight="1" x14ac:dyDescent="0.2">
      <c r="A4" s="3" t="s">
        <v>66</v>
      </c>
      <c r="B4" s="26">
        <f>frac_sam_1month * 2.6</f>
        <v>0.15851654000000001</v>
      </c>
      <c r="C4" s="26">
        <f>frac_sam_1_5months * 2.6</f>
        <v>0.15851654000000001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6.613542E-2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3" t="s">
        <v>61</v>
      </c>
      <c r="C2" s="36">
        <v>0</v>
      </c>
      <c r="D2" s="36">
        <f>food_insecure</f>
        <v>0.57999999999999996</v>
      </c>
      <c r="E2" s="36">
        <f>food_insecure</f>
        <v>0.57999999999999996</v>
      </c>
      <c r="F2" s="36">
        <f>food_insecure</f>
        <v>0.57999999999999996</v>
      </c>
      <c r="G2" s="36">
        <f>food_insecure</f>
        <v>0.57999999999999996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</row>
    <row r="3" spans="1:15" ht="15.75" customHeight="1" x14ac:dyDescent="0.2">
      <c r="B3" s="9" t="s">
        <v>149</v>
      </c>
      <c r="C3" s="36">
        <v>1</v>
      </c>
      <c r="D3" s="36">
        <v>0</v>
      </c>
      <c r="E3" s="36">
        <v>0</v>
      </c>
      <c r="F3" s="36">
        <v>0</v>
      </c>
      <c r="G3" s="36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</row>
    <row r="4" spans="1:15" ht="15.75" customHeight="1" x14ac:dyDescent="0.2">
      <c r="B4" s="9" t="s">
        <v>195</v>
      </c>
      <c r="C4" s="36">
        <v>1</v>
      </c>
      <c r="D4" s="36">
        <v>0</v>
      </c>
      <c r="E4" s="36">
        <v>0</v>
      </c>
      <c r="F4" s="36">
        <v>0</v>
      </c>
      <c r="G4" s="36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</row>
    <row r="5" spans="1:15" ht="15.75" customHeight="1" x14ac:dyDescent="0.2">
      <c r="B5" s="13" t="s">
        <v>136</v>
      </c>
      <c r="C5" s="36">
        <v>0</v>
      </c>
      <c r="D5" s="36">
        <v>0</v>
      </c>
      <c r="E5" s="36">
        <f>food_insecure</f>
        <v>0.57999999999999996</v>
      </c>
      <c r="F5" s="36">
        <f>food_insecure</f>
        <v>0.57999999999999996</v>
      </c>
      <c r="G5" s="36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</row>
    <row r="6" spans="1:15" ht="15.75" customHeight="1" x14ac:dyDescent="0.2">
      <c r="B6" s="13" t="s">
        <v>137</v>
      </c>
      <c r="C6" s="36">
        <v>0</v>
      </c>
      <c r="D6" s="36">
        <v>0</v>
      </c>
      <c r="E6" s="36">
        <f>1</f>
        <v>1</v>
      </c>
      <c r="F6" s="36">
        <f>1</f>
        <v>1</v>
      </c>
      <c r="G6" s="36">
        <f>1</f>
        <v>1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</row>
    <row r="7" spans="1:15" ht="15.75" customHeight="1" x14ac:dyDescent="0.2">
      <c r="B7" s="34" t="s">
        <v>84</v>
      </c>
      <c r="C7" s="36">
        <f>diarrhoea_1mo/26</f>
        <v>0.12692307692307692</v>
      </c>
      <c r="D7" s="36">
        <f>diarrhoea_1_5mo/26</f>
        <v>0.12692307692307692</v>
      </c>
      <c r="E7" s="36">
        <f>diarrhoea_6_11mo/26</f>
        <v>0.12692307692307692</v>
      </c>
      <c r="F7" s="36">
        <f>diarrhoea_12_23mo/26</f>
        <v>0.12692307692307692</v>
      </c>
      <c r="G7" s="36">
        <f>diarrhoea_24_59mo/26</f>
        <v>0.12692307692307692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</row>
    <row r="8" spans="1:15" ht="15.75" customHeight="1" x14ac:dyDescent="0.2">
      <c r="B8" s="13" t="s">
        <v>58</v>
      </c>
      <c r="C8" s="36">
        <v>0</v>
      </c>
      <c r="D8" s="36">
        <v>0</v>
      </c>
      <c r="E8" s="36">
        <f>food_insecure</f>
        <v>0.57999999999999996</v>
      </c>
      <c r="F8" s="36">
        <f>food_insecure</f>
        <v>0.57999999999999996</v>
      </c>
      <c r="G8" s="36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</row>
    <row r="9" spans="1:15" ht="15.75" customHeight="1" x14ac:dyDescent="0.2">
      <c r="B9" s="13" t="s">
        <v>67</v>
      </c>
      <c r="C9" s="36">
        <v>0</v>
      </c>
      <c r="D9" s="36">
        <f>IF(ISBLANK(comm_deliv), frac_children_health_facility,1)</f>
        <v>0.16600000000000001</v>
      </c>
      <c r="E9" s="36">
        <f>IF(ISBLANK(comm_deliv), frac_children_health_facility,1)</f>
        <v>0.16600000000000001</v>
      </c>
      <c r="F9" s="36">
        <f>IF(ISBLANK(comm_deliv), frac_children_health_facility,1)</f>
        <v>0.16600000000000001</v>
      </c>
      <c r="G9" s="36">
        <f>IF(ISBLANK(comm_deliv), frac_children_health_facility,1)</f>
        <v>0.16600000000000001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</row>
    <row r="10" spans="1:15" ht="15" customHeight="1" x14ac:dyDescent="0.2">
      <c r="B10" s="13" t="s">
        <v>28</v>
      </c>
      <c r="C10" s="36">
        <v>0</v>
      </c>
      <c r="D10" s="36">
        <v>0</v>
      </c>
      <c r="E10" s="36">
        <v>1</v>
      </c>
      <c r="F10" s="36">
        <v>1</v>
      </c>
      <c r="G10" s="36">
        <v>1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</row>
    <row r="11" spans="1:15" ht="15.75" customHeight="1" x14ac:dyDescent="0.2">
      <c r="B11" s="34" t="s">
        <v>85</v>
      </c>
      <c r="C11" s="36">
        <f>diarrhoea_1mo/26</f>
        <v>0.12692307692307692</v>
      </c>
      <c r="D11" s="36">
        <f>diarrhoea_1_5mo/26</f>
        <v>0.12692307692307692</v>
      </c>
      <c r="E11" s="36">
        <f>diarrhoea_6_11mo/26</f>
        <v>0.12692307692307692</v>
      </c>
      <c r="F11" s="36">
        <f>diarrhoea_12_23mo/26</f>
        <v>0.12692307692307692</v>
      </c>
      <c r="G11" s="36">
        <f>diarrhoea_24_59mo/26</f>
        <v>0.12692307692307692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</row>
    <row r="12" spans="1:15" ht="15.75" customHeight="1" x14ac:dyDescent="0.2">
      <c r="B12" s="13" t="s">
        <v>60</v>
      </c>
      <c r="C12" s="36">
        <v>0</v>
      </c>
      <c r="D12" s="36">
        <v>0</v>
      </c>
      <c r="E12" s="36">
        <v>1</v>
      </c>
      <c r="F12" s="36">
        <v>1</v>
      </c>
      <c r="G12" s="36">
        <v>1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</row>
    <row r="13" spans="1:15" ht="15.75" customHeight="1" x14ac:dyDescent="0.2">
      <c r="B13" s="34"/>
    </row>
    <row r="14" spans="1:15" ht="15.75" customHeight="1" x14ac:dyDescent="0.2">
      <c r="A14" s="4" t="s">
        <v>32</v>
      </c>
      <c r="B14" s="34" t="s">
        <v>29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6">
        <f>food_insecure</f>
        <v>0.57999999999999996</v>
      </c>
      <c r="I14" s="36">
        <f>food_insecure</f>
        <v>0.57999999999999996</v>
      </c>
      <c r="J14" s="36">
        <f>food_insecure</f>
        <v>0.57999999999999996</v>
      </c>
      <c r="K14" s="36">
        <f>food_insecure</f>
        <v>0.57999999999999996</v>
      </c>
      <c r="L14" s="37">
        <v>0</v>
      </c>
      <c r="M14" s="37">
        <v>0</v>
      </c>
      <c r="N14" s="37">
        <v>0</v>
      </c>
      <c r="O14" s="37">
        <v>0</v>
      </c>
    </row>
    <row r="15" spans="1:15" ht="15.75" customHeight="1" x14ac:dyDescent="0.2">
      <c r="A15" s="4"/>
      <c r="B15" s="13" t="s">
        <v>86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6">
        <v>1</v>
      </c>
      <c r="I15" s="36">
        <v>1</v>
      </c>
      <c r="J15" s="36">
        <v>1</v>
      </c>
      <c r="K15" s="36">
        <v>1</v>
      </c>
      <c r="L15" s="37">
        <v>0</v>
      </c>
      <c r="M15" s="37">
        <v>0</v>
      </c>
      <c r="N15" s="37">
        <v>0</v>
      </c>
      <c r="O15" s="37">
        <v>0</v>
      </c>
    </row>
    <row r="16" spans="1:15" ht="15.75" customHeight="1" x14ac:dyDescent="0.2">
      <c r="A16" s="4"/>
      <c r="B16" s="13" t="s">
        <v>185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6">
        <f xml:space="preserve"> 1</f>
        <v>1</v>
      </c>
      <c r="I16" s="36">
        <f xml:space="preserve"> 1</f>
        <v>1</v>
      </c>
      <c r="J16" s="36">
        <f xml:space="preserve"> 1</f>
        <v>1</v>
      </c>
      <c r="K16" s="36">
        <f xml:space="preserve"> 1</f>
        <v>1</v>
      </c>
      <c r="L16" s="37">
        <v>0</v>
      </c>
      <c r="M16" s="37">
        <v>0</v>
      </c>
      <c r="N16" s="37">
        <v>0</v>
      </c>
      <c r="O16" s="37">
        <v>0</v>
      </c>
    </row>
    <row r="17" spans="1:15" ht="15.75" customHeight="1" x14ac:dyDescent="0.2">
      <c r="A17" s="4"/>
      <c r="B17" s="13" t="s">
        <v>190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6">
        <f>frac_PW_health_facility</f>
        <v>0.3906</v>
      </c>
      <c r="I17" s="36">
        <f>frac_PW_health_facility</f>
        <v>0.3906</v>
      </c>
      <c r="J17" s="36">
        <f>frac_PW_health_facility</f>
        <v>0.3906</v>
      </c>
      <c r="K17" s="36">
        <f>frac_PW_health_facility</f>
        <v>0.3906</v>
      </c>
      <c r="L17" s="37">
        <v>0</v>
      </c>
      <c r="M17" s="37">
        <v>0</v>
      </c>
      <c r="N17" s="37">
        <v>0</v>
      </c>
      <c r="O17" s="37">
        <v>0</v>
      </c>
    </row>
    <row r="18" spans="1:15" ht="15" customHeight="1" x14ac:dyDescent="0.2">
      <c r="B18" s="34" t="s">
        <v>57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6">
        <f>frac_malaria_risk</f>
        <v>0.73089999999999999</v>
      </c>
      <c r="I18" s="36">
        <f>frac_malaria_risk</f>
        <v>0.73089999999999999</v>
      </c>
      <c r="J18" s="36">
        <f>frac_malaria_risk</f>
        <v>0.73089999999999999</v>
      </c>
      <c r="K18" s="36">
        <f>frac_malaria_risk</f>
        <v>0.73089999999999999</v>
      </c>
      <c r="L18" s="37">
        <v>0</v>
      </c>
      <c r="M18" s="37">
        <v>0</v>
      </c>
      <c r="N18" s="37">
        <v>0</v>
      </c>
      <c r="O18" s="37">
        <v>0</v>
      </c>
    </row>
    <row r="19" spans="1:15" ht="15.75" customHeight="1" x14ac:dyDescent="0.2">
      <c r="B19" s="13" t="s">
        <v>88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6">
        <v>1</v>
      </c>
      <c r="I19" s="36">
        <v>1</v>
      </c>
      <c r="J19" s="36">
        <v>1</v>
      </c>
      <c r="K19" s="36">
        <v>1</v>
      </c>
      <c r="L19" s="37">
        <v>0</v>
      </c>
      <c r="M19" s="37">
        <v>0</v>
      </c>
      <c r="N19" s="37">
        <v>0</v>
      </c>
      <c r="O19" s="37">
        <v>0</v>
      </c>
    </row>
    <row r="20" spans="1:15" ht="15.75" customHeight="1" x14ac:dyDescent="0.2">
      <c r="B20" s="13" t="s">
        <v>87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6">
        <v>1</v>
      </c>
      <c r="I20" s="36">
        <v>1</v>
      </c>
      <c r="J20" s="36">
        <v>1</v>
      </c>
      <c r="K20" s="36">
        <v>1</v>
      </c>
      <c r="L20" s="37">
        <v>0</v>
      </c>
      <c r="M20" s="37">
        <v>0</v>
      </c>
      <c r="N20" s="37">
        <v>0</v>
      </c>
      <c r="O20" s="37">
        <v>0</v>
      </c>
    </row>
    <row r="21" spans="1:15" ht="15.75" customHeight="1" x14ac:dyDescent="0.2">
      <c r="B21" s="34" t="s">
        <v>59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6">
        <f>1</f>
        <v>1</v>
      </c>
      <c r="I21" s="36">
        <f>1</f>
        <v>1</v>
      </c>
      <c r="J21" s="36">
        <f>1</f>
        <v>1</v>
      </c>
      <c r="K21" s="36">
        <f>1</f>
        <v>1</v>
      </c>
      <c r="L21" s="37">
        <v>0</v>
      </c>
      <c r="M21" s="37">
        <v>0</v>
      </c>
      <c r="N21" s="37">
        <v>0</v>
      </c>
      <c r="O21" s="37">
        <v>0</v>
      </c>
    </row>
    <row r="22" spans="1:15" ht="15.75" customHeight="1" x14ac:dyDescent="0.2">
      <c r="B22" s="34"/>
    </row>
    <row r="23" spans="1:15" ht="15.75" customHeight="1" x14ac:dyDescent="0.2">
      <c r="A23" s="64" t="s">
        <v>37</v>
      </c>
      <c r="B23" s="65" t="s">
        <v>197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6">
        <v>1</v>
      </c>
      <c r="M23" s="36">
        <v>1</v>
      </c>
      <c r="N23" s="36">
        <v>1</v>
      </c>
      <c r="O23" s="36">
        <v>1</v>
      </c>
    </row>
    <row r="24" spans="1:15" ht="15.75" customHeight="1" x14ac:dyDescent="0.2">
      <c r="B24" s="65" t="s">
        <v>186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6">
        <f>(1-food_insecure)*(0.49)*(1-school_attendance) + food_insecure*(0.7)*(1-school_attendance)</f>
        <v>0.24759545999999993</v>
      </c>
      <c r="M24" s="36">
        <f>(1-food_insecure)*(0.49)+food_insecure*(0.7)</f>
        <v>0.61180000000000001</v>
      </c>
      <c r="N24" s="36">
        <f>(1-food_insecure)*(0.49)+food_insecure*(0.7)</f>
        <v>0.61180000000000001</v>
      </c>
      <c r="O24" s="36">
        <f>(1-food_insecure)*(0.49)+food_insecure*(0.7)</f>
        <v>0.61180000000000001</v>
      </c>
    </row>
    <row r="25" spans="1:15" ht="15.75" customHeight="1" x14ac:dyDescent="0.2">
      <c r="B25" s="65" t="s">
        <v>187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6">
        <f>(1-food_insecure)*(0.21)*(1-school_attendance) + food_insecure*(0.3)*(1-school_attendance)</f>
        <v>0.10611233999999999</v>
      </c>
      <c r="M25" s="36">
        <f>(1-food_insecure)*(0.21)+food_insecure*(0.3)</f>
        <v>0.26219999999999999</v>
      </c>
      <c r="N25" s="36">
        <f>(1-food_insecure)*(0.21)+food_insecure*(0.3)</f>
        <v>0.26219999999999999</v>
      </c>
      <c r="O25" s="36">
        <f>(1-food_insecure)*(0.21)+food_insecure*(0.3)</f>
        <v>0.26219999999999999</v>
      </c>
    </row>
    <row r="26" spans="1:15" ht="15.75" customHeight="1" x14ac:dyDescent="0.2">
      <c r="B26" s="65" t="s">
        <v>188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6">
        <f>(1-food_insecure)*(0.3)*(1-school_attendance)</f>
        <v>5.0992199999999994E-2</v>
      </c>
      <c r="M26" s="36">
        <f>(1-food_insecure)*(0.3)</f>
        <v>0.126</v>
      </c>
      <c r="N26" s="36">
        <f>(1-food_insecure)*(0.3)</f>
        <v>0.126</v>
      </c>
      <c r="O26" s="36">
        <f>(1-food_insecure)*(0.3)</f>
        <v>0.126</v>
      </c>
    </row>
    <row r="27" spans="1:15" ht="15.75" customHeight="1" x14ac:dyDescent="0.2">
      <c r="B27" s="65" t="s">
        <v>189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6">
        <f>(1-food_insecure)*1*school_attendance + food_insecure*1*school_attendance</f>
        <v>0.59530000000000005</v>
      </c>
      <c r="M27" s="36">
        <v>0</v>
      </c>
      <c r="N27" s="36">
        <v>0</v>
      </c>
      <c r="O27" s="36">
        <v>0</v>
      </c>
    </row>
    <row r="28" spans="1:15" ht="15.75" customHeight="1" x14ac:dyDescent="0.2">
      <c r="B28" s="13"/>
      <c r="C28" s="2"/>
      <c r="D28" s="2"/>
      <c r="E28" s="12"/>
      <c r="F28" s="12"/>
      <c r="G28" s="12"/>
      <c r="H28" s="12"/>
      <c r="I28" s="12"/>
    </row>
    <row r="29" spans="1:15" ht="15.75" customHeight="1" x14ac:dyDescent="0.2">
      <c r="A29" s="4" t="s">
        <v>35</v>
      </c>
      <c r="B29" s="13" t="s">
        <v>63</v>
      </c>
      <c r="C29" s="36">
        <v>0</v>
      </c>
      <c r="D29" s="36">
        <v>0</v>
      </c>
      <c r="E29" s="36">
        <f t="shared" ref="E29:O29" si="0">frac_maize</f>
        <v>0.1</v>
      </c>
      <c r="F29" s="36">
        <f t="shared" si="0"/>
        <v>0.1</v>
      </c>
      <c r="G29" s="36">
        <f t="shared" si="0"/>
        <v>0.1</v>
      </c>
      <c r="H29" s="36">
        <f t="shared" si="0"/>
        <v>0.1</v>
      </c>
      <c r="I29" s="36">
        <f t="shared" si="0"/>
        <v>0.1</v>
      </c>
      <c r="J29" s="36">
        <f t="shared" si="0"/>
        <v>0.1</v>
      </c>
      <c r="K29" s="36">
        <f t="shared" si="0"/>
        <v>0.1</v>
      </c>
      <c r="L29" s="36">
        <f t="shared" si="0"/>
        <v>0.1</v>
      </c>
      <c r="M29" s="36">
        <f t="shared" si="0"/>
        <v>0.1</v>
      </c>
      <c r="N29" s="36">
        <f t="shared" si="0"/>
        <v>0.1</v>
      </c>
      <c r="O29" s="36">
        <f t="shared" si="0"/>
        <v>0.1</v>
      </c>
    </row>
    <row r="30" spans="1:15" ht="15.75" customHeight="1" x14ac:dyDescent="0.2">
      <c r="B30" s="13" t="s">
        <v>64</v>
      </c>
      <c r="C30" s="36">
        <v>0</v>
      </c>
      <c r="D30" s="36">
        <v>0</v>
      </c>
      <c r="E30" s="36">
        <f t="shared" ref="E30:O30" si="1">frac_rice</f>
        <v>0.1</v>
      </c>
      <c r="F30" s="36">
        <f t="shared" si="1"/>
        <v>0.1</v>
      </c>
      <c r="G30" s="36">
        <f t="shared" si="1"/>
        <v>0.1</v>
      </c>
      <c r="H30" s="36">
        <f t="shared" si="1"/>
        <v>0.1</v>
      </c>
      <c r="I30" s="36">
        <f t="shared" si="1"/>
        <v>0.1</v>
      </c>
      <c r="J30" s="36">
        <f t="shared" si="1"/>
        <v>0.1</v>
      </c>
      <c r="K30" s="36">
        <f t="shared" si="1"/>
        <v>0.1</v>
      </c>
      <c r="L30" s="36">
        <f t="shared" si="1"/>
        <v>0.1</v>
      </c>
      <c r="M30" s="36">
        <f t="shared" si="1"/>
        <v>0.1</v>
      </c>
      <c r="N30" s="36">
        <f t="shared" si="1"/>
        <v>0.1</v>
      </c>
      <c r="O30" s="36">
        <f t="shared" si="1"/>
        <v>0.1</v>
      </c>
    </row>
    <row r="31" spans="1:15" ht="15.75" customHeight="1" x14ac:dyDescent="0.2">
      <c r="B31" s="13" t="s">
        <v>62</v>
      </c>
      <c r="C31" s="36">
        <v>0</v>
      </c>
      <c r="D31" s="36">
        <v>0</v>
      </c>
      <c r="E31" s="36">
        <f t="shared" ref="E31:O31" si="2">frac_wheat</f>
        <v>0.1</v>
      </c>
      <c r="F31" s="36">
        <f t="shared" si="2"/>
        <v>0.1</v>
      </c>
      <c r="G31" s="36">
        <f t="shared" si="2"/>
        <v>0.1</v>
      </c>
      <c r="H31" s="36">
        <f t="shared" si="2"/>
        <v>0.1</v>
      </c>
      <c r="I31" s="36">
        <f t="shared" si="2"/>
        <v>0.1</v>
      </c>
      <c r="J31" s="36">
        <f t="shared" si="2"/>
        <v>0.1</v>
      </c>
      <c r="K31" s="36">
        <f t="shared" si="2"/>
        <v>0.1</v>
      </c>
      <c r="L31" s="36">
        <f t="shared" si="2"/>
        <v>0.1</v>
      </c>
      <c r="M31" s="36">
        <f t="shared" si="2"/>
        <v>0.1</v>
      </c>
      <c r="N31" s="36">
        <f t="shared" si="2"/>
        <v>0.1</v>
      </c>
      <c r="O31" s="36">
        <f t="shared" si="2"/>
        <v>0.1</v>
      </c>
    </row>
    <row r="32" spans="1:15" ht="15.75" customHeight="1" x14ac:dyDescent="0.2">
      <c r="B32" s="13" t="s">
        <v>47</v>
      </c>
      <c r="C32" s="36">
        <v>0</v>
      </c>
      <c r="D32" s="36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36">
        <v>1</v>
      </c>
      <c r="M32" s="36">
        <v>1</v>
      </c>
      <c r="N32" s="36">
        <v>1</v>
      </c>
      <c r="O32" s="36">
        <v>1</v>
      </c>
    </row>
    <row r="33" spans="1:15" ht="15.75" customHeight="1" x14ac:dyDescent="0.2">
      <c r="B33" s="13" t="s">
        <v>34</v>
      </c>
      <c r="C33" s="36">
        <f t="shared" ref="C33:O33" si="3">frac_malaria_risk</f>
        <v>0.73089999999999999</v>
      </c>
      <c r="D33" s="36">
        <f t="shared" si="3"/>
        <v>0.73089999999999999</v>
      </c>
      <c r="E33" s="36">
        <f t="shared" si="3"/>
        <v>0.73089999999999999</v>
      </c>
      <c r="F33" s="36">
        <f t="shared" si="3"/>
        <v>0.73089999999999999</v>
      </c>
      <c r="G33" s="36">
        <f t="shared" si="3"/>
        <v>0.73089999999999999</v>
      </c>
      <c r="H33" s="36">
        <f t="shared" si="3"/>
        <v>0.73089999999999999</v>
      </c>
      <c r="I33" s="36">
        <f t="shared" si="3"/>
        <v>0.73089999999999999</v>
      </c>
      <c r="J33" s="36">
        <f t="shared" si="3"/>
        <v>0.73089999999999999</v>
      </c>
      <c r="K33" s="36">
        <f t="shared" si="3"/>
        <v>0.73089999999999999</v>
      </c>
      <c r="L33" s="36">
        <f t="shared" si="3"/>
        <v>0.73089999999999999</v>
      </c>
      <c r="M33" s="36">
        <f t="shared" si="3"/>
        <v>0.73089999999999999</v>
      </c>
      <c r="N33" s="36">
        <f t="shared" si="3"/>
        <v>0.73089999999999999</v>
      </c>
      <c r="O33" s="36">
        <f t="shared" si="3"/>
        <v>0.73089999999999999</v>
      </c>
    </row>
    <row r="34" spans="1:15" ht="15.75" customHeight="1" x14ac:dyDescent="0.2">
      <c r="B34" s="34" t="s">
        <v>83</v>
      </c>
      <c r="C34" s="36">
        <v>1</v>
      </c>
      <c r="D34" s="36">
        <v>1</v>
      </c>
      <c r="E34" s="36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</row>
    <row r="35" spans="1:15" ht="15.75" customHeight="1" x14ac:dyDescent="0.2">
      <c r="A35" s="5"/>
      <c r="B35" s="34" t="s">
        <v>82</v>
      </c>
      <c r="C35" s="36">
        <v>1</v>
      </c>
      <c r="D35" s="36">
        <v>1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1</v>
      </c>
      <c r="L35" s="36">
        <v>1</v>
      </c>
      <c r="M35" s="36">
        <v>1</v>
      </c>
      <c r="N35" s="36">
        <v>1</v>
      </c>
      <c r="O35" s="36">
        <v>1</v>
      </c>
    </row>
    <row r="36" spans="1:15" s="5" customFormat="1" ht="15.75" customHeight="1" x14ac:dyDescent="0.2">
      <c r="B36" s="34" t="s">
        <v>81</v>
      </c>
      <c r="C36" s="36">
        <v>1</v>
      </c>
      <c r="D36" s="36">
        <v>1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1</v>
      </c>
      <c r="K36" s="36">
        <v>1</v>
      </c>
      <c r="L36" s="36">
        <v>1</v>
      </c>
      <c r="M36" s="36">
        <v>1</v>
      </c>
      <c r="N36" s="36">
        <v>1</v>
      </c>
      <c r="O36" s="36">
        <v>1</v>
      </c>
    </row>
    <row r="37" spans="1:15" s="5" customFormat="1" ht="15.75" customHeight="1" x14ac:dyDescent="0.2">
      <c r="B37" s="34" t="s">
        <v>79</v>
      </c>
      <c r="C37" s="36">
        <v>1</v>
      </c>
      <c r="D37" s="36">
        <v>1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1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</row>
    <row r="38" spans="1:15" s="5" customFormat="1" ht="15.75" customHeight="1" x14ac:dyDescent="0.2">
      <c r="B38" s="34" t="s">
        <v>80</v>
      </c>
      <c r="C38" s="36">
        <v>1</v>
      </c>
      <c r="D38" s="36">
        <v>1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</row>
    <row r="39" spans="1:15" ht="15.75" customHeight="1" x14ac:dyDescent="0.2">
      <c r="B39" s="34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42578125" defaultRowHeight="12.75" x14ac:dyDescent="0.2"/>
  <cols>
    <col min="1" max="1" width="33.5703125" style="38" customWidth="1"/>
    <col min="2" max="2" width="12.42578125" style="38" customWidth="1"/>
    <col min="3" max="4" width="11.42578125" style="38"/>
    <col min="5" max="5" width="17.42578125" style="38" customWidth="1"/>
    <col min="6" max="16384" width="11.42578125" style="38"/>
  </cols>
  <sheetData>
    <row r="1" spans="1:5" x14ac:dyDescent="0.2">
      <c r="A1" s="43" t="s">
        <v>163</v>
      </c>
      <c r="B1" s="43" t="s">
        <v>162</v>
      </c>
      <c r="C1" s="43" t="s">
        <v>161</v>
      </c>
      <c r="D1" s="43" t="s">
        <v>160</v>
      </c>
      <c r="E1" s="43" t="s">
        <v>159</v>
      </c>
    </row>
    <row r="2" spans="1:5" ht="14.25" x14ac:dyDescent="0.2">
      <c r="A2" s="42" t="s">
        <v>158</v>
      </c>
      <c r="B2" s="41">
        <v>0.9</v>
      </c>
      <c r="C2" s="40">
        <v>0.09</v>
      </c>
      <c r="D2" s="38">
        <v>0.8</v>
      </c>
      <c r="E2" s="38">
        <f t="shared" ref="E2:E10" si="0">C2*D2</f>
        <v>7.1999999999999995E-2</v>
      </c>
    </row>
    <row r="3" spans="1:5" ht="14.25" x14ac:dyDescent="0.2">
      <c r="A3" s="42" t="s">
        <v>157</v>
      </c>
      <c r="B3" s="41">
        <v>1</v>
      </c>
      <c r="C3" s="40">
        <v>0.02</v>
      </c>
      <c r="D3" s="38">
        <v>1.9</v>
      </c>
      <c r="E3" s="38">
        <f t="shared" si="0"/>
        <v>3.7999999999999999E-2</v>
      </c>
    </row>
    <row r="4" spans="1:5" ht="14.25" x14ac:dyDescent="0.2">
      <c r="A4" s="42" t="s">
        <v>156</v>
      </c>
      <c r="B4" s="41">
        <v>1</v>
      </c>
      <c r="C4" s="40">
        <v>0.08</v>
      </c>
      <c r="D4" s="38">
        <v>2</v>
      </c>
      <c r="E4" s="38">
        <f t="shared" si="0"/>
        <v>0.16</v>
      </c>
    </row>
    <row r="5" spans="1:5" ht="14.25" x14ac:dyDescent="0.2">
      <c r="A5" s="42" t="s">
        <v>155</v>
      </c>
      <c r="B5" s="41">
        <v>1</v>
      </c>
      <c r="C5" s="40">
        <v>0.18</v>
      </c>
      <c r="D5" s="38">
        <v>0.7</v>
      </c>
      <c r="E5" s="38">
        <f t="shared" si="0"/>
        <v>0.126</v>
      </c>
    </row>
    <row r="6" spans="1:5" ht="14.25" x14ac:dyDescent="0.2">
      <c r="A6" s="42" t="s">
        <v>154</v>
      </c>
      <c r="B6" s="41">
        <v>1</v>
      </c>
      <c r="C6" s="40">
        <v>0.02</v>
      </c>
      <c r="D6" s="38">
        <v>0.7</v>
      </c>
      <c r="E6" s="38">
        <f t="shared" si="0"/>
        <v>1.3999999999999999E-2</v>
      </c>
    </row>
    <row r="7" spans="1:5" ht="14.25" x14ac:dyDescent="0.2">
      <c r="A7" s="42" t="s">
        <v>153</v>
      </c>
      <c r="B7" s="41">
        <v>0.93</v>
      </c>
      <c r="C7" s="40">
        <v>0.45</v>
      </c>
      <c r="D7" s="38">
        <v>0.9</v>
      </c>
      <c r="E7" s="38">
        <f t="shared" si="0"/>
        <v>0.40500000000000003</v>
      </c>
    </row>
    <row r="8" spans="1:5" ht="14.25" x14ac:dyDescent="0.2">
      <c r="A8" s="42" t="s">
        <v>152</v>
      </c>
      <c r="B8" s="41">
        <v>0.5</v>
      </c>
      <c r="C8" s="40">
        <v>0.03</v>
      </c>
      <c r="D8" s="38">
        <v>0</v>
      </c>
      <c r="E8" s="38">
        <f t="shared" si="0"/>
        <v>0</v>
      </c>
    </row>
    <row r="9" spans="1:5" ht="14.25" x14ac:dyDescent="0.2">
      <c r="A9" s="42" t="s">
        <v>151</v>
      </c>
      <c r="B9" s="41">
        <v>0.5</v>
      </c>
      <c r="C9" s="40">
        <v>0.11</v>
      </c>
      <c r="D9" s="38">
        <v>0</v>
      </c>
      <c r="E9" s="38">
        <f t="shared" si="0"/>
        <v>0</v>
      </c>
    </row>
    <row r="10" spans="1:5" ht="14.25" x14ac:dyDescent="0.2">
      <c r="A10" s="42" t="s">
        <v>150</v>
      </c>
      <c r="B10" s="41">
        <v>0.98</v>
      </c>
      <c r="C10" s="40">
        <v>0.01</v>
      </c>
      <c r="D10" s="38">
        <v>0.6</v>
      </c>
      <c r="E10" s="38">
        <f t="shared" si="0"/>
        <v>6.0000000000000001E-3</v>
      </c>
    </row>
    <row r="11" spans="1:5" x14ac:dyDescent="0.2">
      <c r="C11" s="3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zoomScale="119" zoomScaleNormal="115" workbookViewId="0">
      <selection activeCell="C20" sqref="C20"/>
    </sheetView>
  </sheetViews>
  <sheetFormatPr defaultColWidth="14.42578125" defaultRowHeight="15.75" customHeight="1" x14ac:dyDescent="0.2"/>
  <cols>
    <col min="1" max="1" width="30.5703125" style="14" customWidth="1"/>
    <col min="2" max="2" width="38.5703125" style="17" customWidth="1"/>
    <col min="3" max="3" width="14.42578125" style="14" customWidth="1"/>
    <col min="4" max="4" width="19.85546875" style="14" customWidth="1"/>
    <col min="5" max="16384" width="14.42578125" style="14"/>
  </cols>
  <sheetData>
    <row r="1" spans="1:5" ht="27" customHeight="1" x14ac:dyDescent="0.25">
      <c r="A1" s="1" t="s">
        <v>100</v>
      </c>
      <c r="B1" s="44" t="s">
        <v>164</v>
      </c>
      <c r="C1" s="108" t="s">
        <v>202</v>
      </c>
      <c r="D1" s="82"/>
      <c r="E1" s="83"/>
    </row>
    <row r="2" spans="1:5" ht="15.95" customHeight="1" x14ac:dyDescent="0.2">
      <c r="A2" s="14" t="s">
        <v>191</v>
      </c>
      <c r="B2" s="44"/>
    </row>
    <row r="3" spans="1:5" ht="15.95" customHeight="1" x14ac:dyDescent="0.2">
      <c r="A3" s="1"/>
      <c r="B3" s="9" t="s">
        <v>193</v>
      </c>
      <c r="C3" s="68">
        <v>2017</v>
      </c>
    </row>
    <row r="4" spans="1:5" ht="15.95" customHeight="1" x14ac:dyDescent="0.2">
      <c r="A4" s="1"/>
      <c r="B4" s="11" t="s">
        <v>192</v>
      </c>
      <c r="C4" s="69">
        <v>2030</v>
      </c>
    </row>
    <row r="5" spans="1:5" ht="15.95" customHeight="1" x14ac:dyDescent="0.2">
      <c r="A5" s="1"/>
      <c r="B5" s="44"/>
    </row>
    <row r="6" spans="1:5" ht="15" customHeight="1" x14ac:dyDescent="0.2">
      <c r="A6" s="14" t="s">
        <v>48</v>
      </c>
    </row>
    <row r="7" spans="1:5" ht="15" customHeight="1" x14ac:dyDescent="0.2">
      <c r="B7" s="17" t="s">
        <v>201</v>
      </c>
      <c r="C7" s="76">
        <v>189647.75752000001</v>
      </c>
    </row>
    <row r="8" spans="1:5" ht="15" customHeight="1" x14ac:dyDescent="0.25">
      <c r="B8" s="9" t="s">
        <v>106</v>
      </c>
      <c r="C8" s="107">
        <v>0.57999999999999996</v>
      </c>
      <c r="D8" s="84"/>
    </row>
    <row r="9" spans="1:5" ht="38.25" customHeight="1" x14ac:dyDescent="0.2">
      <c r="A9" s="90"/>
      <c r="B9" s="11" t="s">
        <v>107</v>
      </c>
      <c r="C9" s="100">
        <v>0.73089999999999999</v>
      </c>
      <c r="D9" s="84"/>
    </row>
    <row r="10" spans="1:5" ht="15" customHeight="1" x14ac:dyDescent="0.2">
      <c r="A10" s="90"/>
      <c r="B10" s="11" t="s">
        <v>105</v>
      </c>
      <c r="C10" s="99">
        <v>0.59530000000000005</v>
      </c>
    </row>
    <row r="11" spans="1:5" ht="15" customHeight="1" x14ac:dyDescent="0.2">
      <c r="A11" s="90"/>
      <c r="B11" s="9" t="s">
        <v>108</v>
      </c>
      <c r="C11" s="99">
        <v>0.3906</v>
      </c>
      <c r="D11" s="84"/>
    </row>
    <row r="12" spans="1:5" ht="15" customHeight="1" x14ac:dyDescent="0.2">
      <c r="A12" s="90"/>
      <c r="B12" s="9" t="s">
        <v>109</v>
      </c>
      <c r="C12" s="99">
        <v>0.16600000000000001</v>
      </c>
      <c r="D12" s="84"/>
    </row>
    <row r="13" spans="1:5" ht="15" customHeight="1" x14ac:dyDescent="0.2">
      <c r="A13" s="90"/>
      <c r="B13" s="9" t="s">
        <v>110</v>
      </c>
      <c r="C13" s="99">
        <v>0.33500000000000002</v>
      </c>
      <c r="D13" s="84"/>
    </row>
    <row r="14" spans="1:5" ht="15" customHeight="1" x14ac:dyDescent="0.2">
      <c r="B14" s="14"/>
    </row>
    <row r="15" spans="1:5" ht="15" customHeight="1" x14ac:dyDescent="0.2">
      <c r="A15" s="14" t="s">
        <v>30</v>
      </c>
      <c r="B15" s="18"/>
    </row>
    <row r="16" spans="1:5" ht="15" customHeight="1" x14ac:dyDescent="0.2">
      <c r="B16" s="11" t="s">
        <v>94</v>
      </c>
      <c r="C16" s="100">
        <v>0.59699999999999998</v>
      </c>
    </row>
    <row r="17" spans="1:6" ht="15" customHeight="1" x14ac:dyDescent="0.2">
      <c r="B17" s="11" t="s">
        <v>95</v>
      </c>
      <c r="C17" s="100">
        <v>0.1</v>
      </c>
    </row>
    <row r="18" spans="1:6" ht="15" customHeight="1" x14ac:dyDescent="0.2">
      <c r="B18" s="11" t="s">
        <v>96</v>
      </c>
      <c r="C18" s="100">
        <v>0.1</v>
      </c>
    </row>
    <row r="19" spans="1:6" ht="15" customHeight="1" x14ac:dyDescent="0.2">
      <c r="B19" s="11" t="s">
        <v>97</v>
      </c>
      <c r="C19" s="100">
        <v>0.1</v>
      </c>
    </row>
    <row r="20" spans="1:6" ht="15" customHeight="1" x14ac:dyDescent="0.2">
      <c r="B20" s="11" t="s">
        <v>98</v>
      </c>
      <c r="C20" s="100">
        <v>0.1</v>
      </c>
    </row>
    <row r="21" spans="1:6" ht="15" customHeight="1" x14ac:dyDescent="0.2">
      <c r="B21" s="14"/>
      <c r="C21" s="89"/>
    </row>
    <row r="22" spans="1:6" ht="15" customHeight="1" x14ac:dyDescent="0.2">
      <c r="A22" s="14" t="s">
        <v>99</v>
      </c>
      <c r="C22" s="89"/>
    </row>
    <row r="23" spans="1:6" ht="15" customHeight="1" x14ac:dyDescent="0.25">
      <c r="A23" s="90"/>
      <c r="B23" s="19" t="s">
        <v>101</v>
      </c>
      <c r="C23" s="99">
        <v>5.8700000000000002E-2</v>
      </c>
      <c r="D23" s="87"/>
      <c r="E23" s="85"/>
    </row>
    <row r="24" spans="1:6" ht="15" customHeight="1" x14ac:dyDescent="0.25">
      <c r="A24" s="90"/>
      <c r="B24" s="19" t="s">
        <v>102</v>
      </c>
      <c r="C24" s="99">
        <v>0.52400000000000002</v>
      </c>
      <c r="D24" s="87"/>
      <c r="E24" s="85"/>
    </row>
    <row r="25" spans="1:6" ht="15" customHeight="1" x14ac:dyDescent="0.25">
      <c r="A25" s="90"/>
      <c r="B25" s="19" t="s">
        <v>103</v>
      </c>
      <c r="C25" s="99">
        <v>0.4173</v>
      </c>
      <c r="D25" s="87"/>
      <c r="E25" s="85"/>
    </row>
    <row r="26" spans="1:6" ht="15" customHeight="1" x14ac:dyDescent="0.25">
      <c r="A26" s="90"/>
      <c r="B26" s="19" t="s">
        <v>104</v>
      </c>
      <c r="C26" s="99">
        <v>0</v>
      </c>
      <c r="D26" s="87"/>
      <c r="E26" s="85"/>
    </row>
    <row r="27" spans="1:6" ht="15" customHeight="1" x14ac:dyDescent="0.2">
      <c r="B27" s="19"/>
      <c r="C27" s="89"/>
    </row>
    <row r="28" spans="1:6" ht="15" customHeight="1" x14ac:dyDescent="0.2">
      <c r="A28" s="14" t="s">
        <v>196</v>
      </c>
      <c r="B28" s="19"/>
      <c r="C28" s="89"/>
    </row>
    <row r="29" spans="1:6" ht="14.25" customHeight="1" x14ac:dyDescent="0.2">
      <c r="A29" s="90"/>
      <c r="B29" s="30" t="s">
        <v>75</v>
      </c>
      <c r="C29" s="101">
        <v>0.2208</v>
      </c>
      <c r="D29" s="84"/>
    </row>
    <row r="30" spans="1:6" ht="14.25" customHeight="1" x14ac:dyDescent="0.25">
      <c r="A30" s="90"/>
      <c r="B30" s="30" t="s">
        <v>76</v>
      </c>
      <c r="C30" s="101">
        <v>7.4300000000000005E-2</v>
      </c>
      <c r="D30" s="84"/>
      <c r="E30" s="85"/>
      <c r="F30" s="84"/>
    </row>
    <row r="31" spans="1:6" ht="14.25" customHeight="1" x14ac:dyDescent="0.25">
      <c r="A31" s="90"/>
      <c r="B31" s="30" t="s">
        <v>77</v>
      </c>
      <c r="C31" s="101">
        <v>0.16850000000000001</v>
      </c>
      <c r="D31" s="84"/>
      <c r="E31" s="85"/>
      <c r="F31" s="84"/>
    </row>
    <row r="32" spans="1:6" ht="14.25" customHeight="1" x14ac:dyDescent="0.2">
      <c r="A32" s="90"/>
      <c r="B32" s="30" t="s">
        <v>78</v>
      </c>
      <c r="C32" s="101">
        <v>0.53639999999999999</v>
      </c>
      <c r="D32" s="84"/>
    </row>
    <row r="33" spans="1:5" ht="12.75" x14ac:dyDescent="0.2">
      <c r="B33" s="32" t="s">
        <v>129</v>
      </c>
      <c r="C33" s="109">
        <f>SUM(C29:C32)</f>
        <v>1</v>
      </c>
    </row>
    <row r="34" spans="1:5" ht="15" customHeight="1" x14ac:dyDescent="0.2">
      <c r="C34" s="103"/>
    </row>
    <row r="35" spans="1:5" ht="15" customHeight="1" x14ac:dyDescent="0.2">
      <c r="A35" s="4" t="s">
        <v>135</v>
      </c>
      <c r="C35" s="103"/>
    </row>
    <row r="36" spans="1:5" ht="15" customHeight="1" x14ac:dyDescent="0.2">
      <c r="A36" s="14" t="s">
        <v>74</v>
      </c>
      <c r="B36" s="9"/>
      <c r="C36" s="103"/>
    </row>
    <row r="37" spans="1:5" ht="15" customHeight="1" x14ac:dyDescent="0.2">
      <c r="A37" s="90"/>
      <c r="B37" s="45" t="s">
        <v>92</v>
      </c>
      <c r="C37" s="102">
        <v>41.404000000000003</v>
      </c>
      <c r="D37" s="86"/>
      <c r="E37" s="86"/>
    </row>
    <row r="38" spans="1:5" ht="15" customHeight="1" x14ac:dyDescent="0.2">
      <c r="A38" s="90"/>
      <c r="B38" s="17" t="s">
        <v>91</v>
      </c>
      <c r="C38" s="102">
        <v>81.261099999999999</v>
      </c>
      <c r="D38" s="86"/>
      <c r="E38" s="86"/>
    </row>
    <row r="39" spans="1:5" ht="15" customHeight="1" x14ac:dyDescent="0.2">
      <c r="A39" s="90"/>
      <c r="B39" s="17" t="s">
        <v>90</v>
      </c>
      <c r="C39" s="102">
        <v>134.7269</v>
      </c>
      <c r="D39" s="86"/>
      <c r="E39" s="94"/>
    </row>
    <row r="40" spans="1:5" ht="15" customHeight="1" x14ac:dyDescent="0.25">
      <c r="B40" s="17" t="s">
        <v>203</v>
      </c>
      <c r="C40" s="102">
        <v>84.600000000000009</v>
      </c>
      <c r="D40" s="84"/>
      <c r="E40" s="95"/>
    </row>
    <row r="41" spans="1:5" ht="26.65" customHeight="1" x14ac:dyDescent="0.2">
      <c r="B41" s="17" t="s">
        <v>89</v>
      </c>
      <c r="C41" s="100">
        <v>0.13</v>
      </c>
      <c r="D41" s="84"/>
      <c r="E41" s="96"/>
    </row>
    <row r="42" spans="1:5" ht="15" customHeight="1" x14ac:dyDescent="0.2">
      <c r="B42" s="45" t="s">
        <v>93</v>
      </c>
      <c r="C42" s="102">
        <v>27.27</v>
      </c>
      <c r="E42" s="97"/>
    </row>
    <row r="43" spans="1:5" ht="15.75" customHeight="1" x14ac:dyDescent="0.2">
      <c r="C43" s="103"/>
      <c r="E43" s="98"/>
    </row>
    <row r="44" spans="1:5" ht="15.75" customHeight="1" x14ac:dyDescent="0.2">
      <c r="A44" s="14" t="s">
        <v>133</v>
      </c>
      <c r="C44" s="103"/>
    </row>
    <row r="45" spans="1:5" ht="15.75" customHeight="1" x14ac:dyDescent="0.2">
      <c r="B45" s="17" t="s">
        <v>9</v>
      </c>
      <c r="C45" s="100">
        <v>1.9099999999999999E-2</v>
      </c>
    </row>
    <row r="46" spans="1:5" ht="15.75" customHeight="1" x14ac:dyDescent="0.2">
      <c r="B46" s="17" t="s">
        <v>11</v>
      </c>
      <c r="C46" s="100">
        <v>9.98E-2</v>
      </c>
    </row>
    <row r="47" spans="1:5" ht="15.75" customHeight="1" x14ac:dyDescent="0.2">
      <c r="B47" s="17" t="s">
        <v>12</v>
      </c>
      <c r="C47" s="100">
        <v>0.2</v>
      </c>
    </row>
    <row r="48" spans="1:5" ht="15" customHeight="1" x14ac:dyDescent="0.2">
      <c r="B48" s="17" t="s">
        <v>26</v>
      </c>
      <c r="C48" s="110">
        <f>1-term_SGA-preterm_AGA-preterm_SGA</f>
        <v>0.68110000000000004</v>
      </c>
    </row>
    <row r="50" spans="1:5" ht="15.75" customHeight="1" x14ac:dyDescent="0.2">
      <c r="A50" s="14" t="s">
        <v>72</v>
      </c>
    </row>
    <row r="51" spans="1:5" ht="15.75" customHeight="1" x14ac:dyDescent="0.2">
      <c r="B51" s="17" t="s">
        <v>124</v>
      </c>
      <c r="C51" s="7">
        <v>3.3</v>
      </c>
    </row>
    <row r="52" spans="1:5" ht="15" customHeight="1" x14ac:dyDescent="0.2">
      <c r="B52" s="17" t="s">
        <v>125</v>
      </c>
      <c r="C52" s="7">
        <v>3.3</v>
      </c>
    </row>
    <row r="53" spans="1:5" ht="15.75" customHeight="1" x14ac:dyDescent="0.2">
      <c r="B53" s="17" t="s">
        <v>126</v>
      </c>
      <c r="C53" s="7">
        <v>3.3</v>
      </c>
    </row>
    <row r="54" spans="1:5" ht="15.75" customHeight="1" x14ac:dyDescent="0.2">
      <c r="B54" s="17" t="s">
        <v>127</v>
      </c>
      <c r="C54" s="7">
        <v>3.3</v>
      </c>
    </row>
    <row r="55" spans="1:5" ht="15.75" customHeight="1" x14ac:dyDescent="0.2">
      <c r="B55" s="17" t="s">
        <v>128</v>
      </c>
      <c r="C55" s="7">
        <v>3.3</v>
      </c>
    </row>
    <row r="57" spans="1:5" ht="15.75" customHeight="1" x14ac:dyDescent="0.2">
      <c r="A57" s="14" t="s">
        <v>134</v>
      </c>
    </row>
    <row r="58" spans="1:5" ht="15.75" customHeight="1" x14ac:dyDescent="0.25">
      <c r="B58" s="9" t="s">
        <v>111</v>
      </c>
      <c r="C58" s="99">
        <v>0.30940000000000001</v>
      </c>
      <c r="D58" s="84"/>
      <c r="E58" s="85"/>
    </row>
    <row r="59" spans="1:5" ht="65.650000000000006" customHeight="1" x14ac:dyDescent="0.2">
      <c r="B59" s="17" t="s">
        <v>132</v>
      </c>
      <c r="C59" s="104">
        <v>0.43519999999999998</v>
      </c>
    </row>
    <row r="60" spans="1:5" ht="15.75" customHeight="1" x14ac:dyDescent="0.2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42578125" defaultRowHeight="15.75" customHeight="1" x14ac:dyDescent="0.2"/>
  <cols>
    <col min="1" max="1" width="8.42578125" style="14" customWidth="1"/>
    <col min="2" max="9" width="16.85546875" style="14" customWidth="1"/>
    <col min="10" max="16384" width="14.42578125" style="14"/>
  </cols>
  <sheetData>
    <row r="1" spans="1:9" s="20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9">
        <v>2017</v>
      </c>
      <c r="B2" s="75">
        <v>49640.683928652776</v>
      </c>
      <c r="C2" s="76">
        <v>66057.084080000001</v>
      </c>
      <c r="D2" s="76">
        <v>99085.626120000001</v>
      </c>
      <c r="E2" s="76">
        <v>74580.578800000003</v>
      </c>
      <c r="F2" s="76">
        <v>52206.405160000002</v>
      </c>
      <c r="G2" s="22">
        <f t="shared" ref="G2:G15" si="0">C2+D2+E2+F2</f>
        <v>291929.69416000001</v>
      </c>
      <c r="H2" s="22">
        <f>(B2 + stillbirth*B2/(1000-stillbirth))/(1-abortion)</f>
        <v>58657.857153841323</v>
      </c>
      <c r="I2" s="22">
        <f t="shared" ref="I2:I13" si="1">G2-H2</f>
        <v>233271.83700615869</v>
      </c>
    </row>
    <row r="3" spans="1:9" ht="15.75" customHeight="1" x14ac:dyDescent="0.2">
      <c r="A3" s="9">
        <v>2018</v>
      </c>
      <c r="B3" s="75">
        <v>50954.82718505575</v>
      </c>
      <c r="C3" s="76">
        <v>68184.122187376008</v>
      </c>
      <c r="D3" s="76">
        <v>102276.183281064</v>
      </c>
      <c r="E3" s="76">
        <v>76982.073437359999</v>
      </c>
      <c r="F3" s="76">
        <v>53887.451406152002</v>
      </c>
      <c r="G3" s="22">
        <f t="shared" si="0"/>
        <v>301329.83031195198</v>
      </c>
      <c r="H3" s="22">
        <f>(B3 + stillbirth*B3/(1000-stillbirth))/(1-abortion)</f>
        <v>60210.713023525976</v>
      </c>
      <c r="I3" s="22">
        <f t="shared" si="1"/>
        <v>241119.117288426</v>
      </c>
    </row>
    <row r="4" spans="1:9" ht="15.75" customHeight="1" x14ac:dyDescent="0.2">
      <c r="A4" s="9">
        <v>2019</v>
      </c>
      <c r="B4" s="75">
        <v>52231.560610973182</v>
      </c>
      <c r="C4" s="76">
        <v>70379.650921809516</v>
      </c>
      <c r="D4" s="76">
        <v>105569.47638271426</v>
      </c>
      <c r="E4" s="76">
        <v>79460.89620204299</v>
      </c>
      <c r="F4" s="76">
        <v>55622.627341430096</v>
      </c>
      <c r="G4" s="22">
        <f t="shared" si="0"/>
        <v>311032.65084799688</v>
      </c>
      <c r="H4" s="22">
        <f>(B4 + stillbirth*B4/(1000-stillbirth))/(1-abortion)</f>
        <v>61719.363609981177</v>
      </c>
      <c r="I4" s="22">
        <f t="shared" si="1"/>
        <v>249313.28723801571</v>
      </c>
    </row>
    <row r="5" spans="1:9" ht="15.75" customHeight="1" x14ac:dyDescent="0.2">
      <c r="A5" s="9">
        <v>2020</v>
      </c>
      <c r="B5" s="75">
        <v>53485.46062641099</v>
      </c>
      <c r="C5" s="76">
        <v>72522.007495869402</v>
      </c>
      <c r="D5" s="76">
        <v>108783.01124380408</v>
      </c>
      <c r="E5" s="76">
        <v>81879.685882433187</v>
      </c>
      <c r="F5" s="76">
        <v>57315.780117703231</v>
      </c>
      <c r="G5" s="22">
        <f t="shared" si="0"/>
        <v>320500.48473980994</v>
      </c>
      <c r="H5" s="22">
        <f>(B5 + stillbirth*B5/(1000-stillbirth))/(1-abortion)</f>
        <v>63201.033123166439</v>
      </c>
      <c r="I5" s="22">
        <f t="shared" si="1"/>
        <v>257299.45161664349</v>
      </c>
    </row>
    <row r="6" spans="1:9" ht="15.75" customHeight="1" x14ac:dyDescent="0.2">
      <c r="A6" s="9">
        <v>2021</v>
      </c>
      <c r="B6" s="75">
        <v>54838.608474997505</v>
      </c>
      <c r="C6" s="76">
        <v>74729.577404043666</v>
      </c>
      <c r="D6" s="76">
        <v>112094.36610606548</v>
      </c>
      <c r="E6" s="76">
        <v>84372.103520694451</v>
      </c>
      <c r="F6" s="76">
        <v>59060.47246448612</v>
      </c>
      <c r="G6" s="22">
        <f t="shared" si="0"/>
        <v>330256.51949528977</v>
      </c>
      <c r="H6" s="22">
        <f>(B6 + stillbirth*B6/(1000-stillbirth))/(1-abortion)</f>
        <v>64799.978724409484</v>
      </c>
      <c r="I6" s="22">
        <f t="shared" si="1"/>
        <v>265456.5407708803</v>
      </c>
    </row>
    <row r="7" spans="1:9" ht="15.75" customHeight="1" x14ac:dyDescent="0.2">
      <c r="A7" s="9">
        <v>2022</v>
      </c>
      <c r="B7" s="75">
        <v>56175.227438321672</v>
      </c>
      <c r="C7" s="76">
        <v>77004.34574022275</v>
      </c>
      <c r="D7" s="76">
        <v>115506.51861033413</v>
      </c>
      <c r="E7" s="76">
        <v>86940.390351864393</v>
      </c>
      <c r="F7" s="76">
        <v>60858.273246305078</v>
      </c>
      <c r="G7" s="22">
        <f t="shared" si="0"/>
        <v>340309.52794872632</v>
      </c>
      <c r="H7" s="22">
        <f>(B7 + stillbirth*B7/(1000-stillbirth))/(1-abortion)</f>
        <v>66379.392987365078</v>
      </c>
      <c r="I7" s="22">
        <f t="shared" si="1"/>
        <v>273930.13496136124</v>
      </c>
    </row>
    <row r="8" spans="1:9" ht="15.75" customHeight="1" x14ac:dyDescent="0.2">
      <c r="A8" s="9">
        <v>2023</v>
      </c>
      <c r="B8" s="75">
        <v>57539.13620229088</v>
      </c>
      <c r="C8" s="76">
        <v>79348.358024555127</v>
      </c>
      <c r="D8" s="76">
        <v>119022.5370368327</v>
      </c>
      <c r="E8" s="76">
        <v>89586.855834175149</v>
      </c>
      <c r="F8" s="76">
        <v>62710.799083922604</v>
      </c>
      <c r="G8" s="22">
        <f t="shared" si="0"/>
        <v>350668.54997948557</v>
      </c>
      <c r="H8" s="22">
        <f>(B8 + stillbirth*B8/(1000-stillbirth))/(1-abortion)</f>
        <v>67991.054211911556</v>
      </c>
      <c r="I8" s="22">
        <f t="shared" si="1"/>
        <v>282677.495767574</v>
      </c>
    </row>
    <row r="9" spans="1:9" ht="15.75" customHeight="1" x14ac:dyDescent="0.2">
      <c r="A9" s="9">
        <v>2024</v>
      </c>
      <c r="B9" s="75">
        <v>59016.124003667988</v>
      </c>
      <c r="C9" s="76">
        <v>81763.722042822585</v>
      </c>
      <c r="D9" s="76">
        <v>122645.58306423388</v>
      </c>
      <c r="E9" s="76">
        <v>92313.879725767445</v>
      </c>
      <c r="F9" s="76">
        <v>64619.71580803721</v>
      </c>
      <c r="G9" s="22">
        <f t="shared" si="0"/>
        <v>361342.90064086113</v>
      </c>
      <c r="H9" s="22">
        <f>(B9 + stillbirth*B9/(1000-stillbirth))/(1-abortion)</f>
        <v>69736.3351511441</v>
      </c>
      <c r="I9" s="22">
        <f t="shared" si="1"/>
        <v>291606.56548971706</v>
      </c>
    </row>
    <row r="10" spans="1:9" ht="15.75" customHeight="1" x14ac:dyDescent="0.2">
      <c r="A10" s="9">
        <v>2025</v>
      </c>
      <c r="B10" s="75">
        <v>60549.10731625394</v>
      </c>
      <c r="C10" s="76">
        <v>84129.146521521427</v>
      </c>
      <c r="D10" s="76">
        <v>126193.71978228216</v>
      </c>
      <c r="E10" s="76">
        <v>94984.520266233885</v>
      </c>
      <c r="F10" s="76">
        <v>66489.16418636372</v>
      </c>
      <c r="G10" s="22">
        <f t="shared" si="0"/>
        <v>371796.55075640115</v>
      </c>
      <c r="H10" s="22">
        <f>(B10 + stillbirth*B10/(1000-stillbirth))/(1-abortion)</f>
        <v>71547.783121887827</v>
      </c>
      <c r="I10" s="22">
        <f t="shared" si="1"/>
        <v>300248.76763451332</v>
      </c>
    </row>
    <row r="11" spans="1:9" ht="15.75" customHeight="1" x14ac:dyDescent="0.2">
      <c r="A11" s="9">
        <v>2026</v>
      </c>
      <c r="B11" s="75">
        <v>62041.178284344736</v>
      </c>
      <c r="C11" s="76">
        <v>86563.002730389038</v>
      </c>
      <c r="D11" s="76">
        <v>129844.50409558357</v>
      </c>
      <c r="E11" s="76">
        <v>97732.422437536021</v>
      </c>
      <c r="F11" s="76">
        <v>68412.695706275219</v>
      </c>
      <c r="G11" s="22">
        <f t="shared" si="0"/>
        <v>382552.62496978388</v>
      </c>
      <c r="H11" s="22">
        <f>(B11 + stillbirth*B11/(1000-stillbirth))/(1-abortion)</f>
        <v>73310.887067745149</v>
      </c>
      <c r="I11" s="22">
        <f t="shared" si="1"/>
        <v>309241.73790203873</v>
      </c>
    </row>
    <row r="12" spans="1:9" ht="15.75" customHeight="1" x14ac:dyDescent="0.2">
      <c r="A12" s="9">
        <v>2027</v>
      </c>
      <c r="B12" s="75">
        <v>63716.184813941341</v>
      </c>
      <c r="C12" s="76">
        <v>89067.27039937918</v>
      </c>
      <c r="D12" s="76">
        <v>133600.90559906879</v>
      </c>
      <c r="E12" s="76">
        <v>100559.82141865393</v>
      </c>
      <c r="F12" s="76">
        <v>70391.874993057761</v>
      </c>
      <c r="G12" s="22">
        <f t="shared" si="0"/>
        <v>393619.87241015967</v>
      </c>
      <c r="H12" s="22">
        <f>(B12 + stillbirth*B12/(1000-stillbirth))/(1-abortion)</f>
        <v>75290.156609761223</v>
      </c>
      <c r="I12" s="22">
        <f t="shared" si="1"/>
        <v>318329.71580039844</v>
      </c>
    </row>
    <row r="13" spans="1:9" ht="15.75" customHeight="1" x14ac:dyDescent="0.2">
      <c r="A13" s="9">
        <v>2028</v>
      </c>
      <c r="B13" s="75">
        <v>65274.475653286034</v>
      </c>
      <c r="C13" s="76">
        <v>91643.986532033217</v>
      </c>
      <c r="D13" s="76">
        <v>137465.97979804984</v>
      </c>
      <c r="E13" s="76">
        <v>103469.01705229557</v>
      </c>
      <c r="F13" s="76">
        <v>72428.311936606915</v>
      </c>
      <c r="G13" s="22">
        <f t="shared" si="0"/>
        <v>405007.29531898559</v>
      </c>
      <c r="H13" s="22">
        <f>(B13 + stillbirth*B13/(1000-stillbirth))/(1-abortion)</f>
        <v>77131.509190434692</v>
      </c>
      <c r="I13" s="22">
        <f t="shared" si="1"/>
        <v>327875.78612855088</v>
      </c>
    </row>
    <row r="14" spans="1:9" ht="15.75" customHeight="1" x14ac:dyDescent="0.2">
      <c r="A14" s="9">
        <v>2029</v>
      </c>
      <c r="B14" s="8">
        <v>66913.488262315863</v>
      </c>
      <c r="C14" s="21">
        <v>94459.949258087392</v>
      </c>
      <c r="D14" s="21">
        <v>142697.45747423585</v>
      </c>
      <c r="E14" s="21">
        <v>106982.8907008489</v>
      </c>
      <c r="F14" s="21">
        <v>74978.389454142525</v>
      </c>
      <c r="G14" s="22">
        <f t="shared" si="0"/>
        <v>419118.68688731466</v>
      </c>
      <c r="H14" s="22">
        <f>(B14 + stillbirth*B14/(1000-stillbirth))/(1-abortion)</f>
        <v>79068.246557550679</v>
      </c>
      <c r="I14" s="22">
        <f t="shared" ref="I14:I15" si="2">G14-H14</f>
        <v>340050.44032976398</v>
      </c>
    </row>
    <row r="15" spans="1:9" ht="15.75" customHeight="1" x14ac:dyDescent="0.2">
      <c r="A15" s="9">
        <v>2030</v>
      </c>
      <c r="B15" s="8">
        <v>69237.026247656511</v>
      </c>
      <c r="C15" s="21">
        <v>97211.68630106929</v>
      </c>
      <c r="D15" s="21">
        <v>148051.49906536107</v>
      </c>
      <c r="E15" s="21">
        <v>110696.43126160422</v>
      </c>
      <c r="F15" s="21">
        <v>77614.804344005272</v>
      </c>
      <c r="G15" s="22">
        <f t="shared" si="0"/>
        <v>433574.42097203992</v>
      </c>
      <c r="H15" s="22">
        <f>(B15 + stillbirth*B15/(1000-stillbirth))/(1-abortion)</f>
        <v>81813.852549432821</v>
      </c>
      <c r="I15" s="22">
        <f t="shared" si="2"/>
        <v>351760.56842260709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35"/>
  <sheetViews>
    <sheetView tabSelected="1" zoomScale="60" zoomScaleNormal="60" workbookViewId="0">
      <selection activeCell="B2" sqref="B2:C2"/>
    </sheetView>
  </sheetViews>
  <sheetFormatPr defaultColWidth="14.42578125" defaultRowHeight="15.75" customHeight="1" x14ac:dyDescent="0.2"/>
  <cols>
    <col min="1" max="1" width="31.42578125" customWidth="1"/>
    <col min="2" max="7" width="13" customWidth="1"/>
  </cols>
  <sheetData>
    <row r="1" spans="1:7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23"/>
      <c r="G1" s="23"/>
    </row>
    <row r="2" spans="1:7" ht="15.75" customHeight="1" x14ac:dyDescent="0.2">
      <c r="A2" t="s">
        <v>212</v>
      </c>
      <c r="B2" s="114" t="s">
        <v>213</v>
      </c>
      <c r="C2" s="114" t="s">
        <v>1</v>
      </c>
    </row>
    <row r="3" spans="1:7" ht="15.75" customHeight="1" x14ac:dyDescent="0.2">
      <c r="B3" s="24" t="s">
        <v>73</v>
      </c>
      <c r="C3" s="77">
        <v>4.4999999999999997E-3</v>
      </c>
    </row>
    <row r="4" spans="1:7" ht="15.75" customHeight="1" x14ac:dyDescent="0.2">
      <c r="B4" s="24" t="s">
        <v>7</v>
      </c>
      <c r="C4" s="77">
        <v>0.1603</v>
      </c>
    </row>
    <row r="5" spans="1:7" ht="15.75" customHeight="1" x14ac:dyDescent="0.2">
      <c r="B5" s="24" t="s">
        <v>8</v>
      </c>
      <c r="C5" s="77">
        <v>6.3500000000000001E-2</v>
      </c>
    </row>
    <row r="6" spans="1:7" ht="15.75" customHeight="1" x14ac:dyDescent="0.2">
      <c r="B6" s="24" t="s">
        <v>10</v>
      </c>
      <c r="C6" s="77">
        <v>0.28639999999999999</v>
      </c>
    </row>
    <row r="7" spans="1:7" ht="15.75" customHeight="1" x14ac:dyDescent="0.2">
      <c r="B7" s="24" t="s">
        <v>13</v>
      </c>
      <c r="C7" s="77">
        <v>0.34749999999999998</v>
      </c>
    </row>
    <row r="8" spans="1:7" ht="15.75" customHeight="1" x14ac:dyDescent="0.2">
      <c r="B8" s="24" t="s">
        <v>14</v>
      </c>
      <c r="C8" s="77">
        <v>1.12E-2</v>
      </c>
    </row>
    <row r="9" spans="1:7" ht="15.75" customHeight="1" x14ac:dyDescent="0.2">
      <c r="B9" s="24" t="s">
        <v>27</v>
      </c>
      <c r="C9" s="77">
        <v>7.1300000000000002E-2</v>
      </c>
    </row>
    <row r="10" spans="1:7" ht="15.75" customHeight="1" x14ac:dyDescent="0.2">
      <c r="B10" s="24" t="s">
        <v>15</v>
      </c>
      <c r="C10" s="77">
        <v>5.5300000000000002E-2</v>
      </c>
    </row>
    <row r="11" spans="1:7" ht="15.75" customHeight="1" x14ac:dyDescent="0.2">
      <c r="B11" s="24" t="s">
        <v>129</v>
      </c>
      <c r="C11" s="77">
        <f>SUM(C3:C10)</f>
        <v>0.99999999999999989</v>
      </c>
    </row>
    <row r="12" spans="1:7" ht="15.75" customHeight="1" x14ac:dyDescent="0.2">
      <c r="B12" s="24"/>
    </row>
    <row r="13" spans="1:7" ht="15.75" customHeight="1" x14ac:dyDescent="0.2">
      <c r="A13" t="s">
        <v>31</v>
      </c>
      <c r="B13" s="24"/>
      <c r="C13" s="23" t="s">
        <v>2</v>
      </c>
      <c r="D13" s="23" t="s">
        <v>3</v>
      </c>
      <c r="E13" s="23" t="s">
        <v>4</v>
      </c>
      <c r="F13" s="23" t="s">
        <v>5</v>
      </c>
    </row>
    <row r="14" spans="1:7" ht="15.75" customHeight="1" x14ac:dyDescent="0.2">
      <c r="B14" s="24" t="s">
        <v>71</v>
      </c>
      <c r="C14" s="77">
        <v>0.15160000000000001</v>
      </c>
      <c r="D14" s="77">
        <v>0.15160000000000001</v>
      </c>
      <c r="E14" s="77">
        <v>0.15160000000000001</v>
      </c>
      <c r="F14" s="77">
        <v>0.15160000000000001</v>
      </c>
    </row>
    <row r="15" spans="1:7" ht="15.75" customHeight="1" x14ac:dyDescent="0.2">
      <c r="B15" s="24" t="s">
        <v>16</v>
      </c>
      <c r="C15" s="77">
        <v>0.19289999999999999</v>
      </c>
      <c r="D15" s="77">
        <v>0.19289999999999999</v>
      </c>
      <c r="E15" s="77">
        <v>0.19289999999999999</v>
      </c>
      <c r="F15" s="77">
        <v>0.19289999999999999</v>
      </c>
    </row>
    <row r="16" spans="1:7" ht="15.75" customHeight="1" x14ac:dyDescent="0.2">
      <c r="B16" s="24" t="s">
        <v>17</v>
      </c>
      <c r="C16" s="77">
        <v>3.7999999999999999E-2</v>
      </c>
      <c r="D16" s="77">
        <v>3.7999999999999999E-2</v>
      </c>
      <c r="E16" s="77">
        <v>3.7999999999999999E-2</v>
      </c>
      <c r="F16" s="77">
        <v>3.7999999999999999E-2</v>
      </c>
    </row>
    <row r="17" spans="1:6" ht="15.75" customHeight="1" x14ac:dyDescent="0.2">
      <c r="B17" s="24" t="s">
        <v>18</v>
      </c>
      <c r="C17" s="77">
        <v>4.5499999999999999E-2</v>
      </c>
      <c r="D17" s="77">
        <v>4.5499999999999999E-2</v>
      </c>
      <c r="E17" s="77">
        <v>4.5499999999999999E-2</v>
      </c>
      <c r="F17" s="77">
        <v>4.5499999999999999E-2</v>
      </c>
    </row>
    <row r="18" spans="1:6" ht="15.75" customHeight="1" x14ac:dyDescent="0.2">
      <c r="B18" s="24" t="s">
        <v>19</v>
      </c>
      <c r="C18" s="77">
        <v>0.1739</v>
      </c>
      <c r="D18" s="77">
        <v>0.1739</v>
      </c>
      <c r="E18" s="77">
        <v>0.1739</v>
      </c>
      <c r="F18" s="77">
        <v>0.1739</v>
      </c>
    </row>
    <row r="19" spans="1:6" ht="15.75" customHeight="1" x14ac:dyDescent="0.2">
      <c r="B19" s="24" t="s">
        <v>20</v>
      </c>
      <c r="C19" s="77">
        <v>1.32E-2</v>
      </c>
      <c r="D19" s="77">
        <v>1.32E-2</v>
      </c>
      <c r="E19" s="77">
        <v>1.32E-2</v>
      </c>
      <c r="F19" s="77">
        <v>1.32E-2</v>
      </c>
    </row>
    <row r="20" spans="1:6" ht="15.75" customHeight="1" x14ac:dyDescent="0.2">
      <c r="B20" s="24" t="s">
        <v>21</v>
      </c>
      <c r="C20" s="77">
        <v>7.7000000000000002E-3</v>
      </c>
      <c r="D20" s="77">
        <v>7.7000000000000002E-3</v>
      </c>
      <c r="E20" s="77">
        <v>7.7000000000000002E-3</v>
      </c>
      <c r="F20" s="77">
        <v>7.7000000000000002E-3</v>
      </c>
    </row>
    <row r="21" spans="1:6" ht="15.75" customHeight="1" x14ac:dyDescent="0.2">
      <c r="B21" s="24" t="s">
        <v>22</v>
      </c>
      <c r="C21" s="77">
        <v>7.8600000000000003E-2</v>
      </c>
      <c r="D21" s="77">
        <v>7.8600000000000003E-2</v>
      </c>
      <c r="E21" s="77">
        <v>7.8600000000000003E-2</v>
      </c>
      <c r="F21" s="77">
        <v>7.8600000000000003E-2</v>
      </c>
    </row>
    <row r="22" spans="1:6" ht="15.75" customHeight="1" x14ac:dyDescent="0.2">
      <c r="B22" s="24" t="s">
        <v>23</v>
      </c>
      <c r="C22" s="77">
        <v>0.29859999999999998</v>
      </c>
      <c r="D22" s="77">
        <v>0.29859999999999998</v>
      </c>
      <c r="E22" s="77">
        <v>0.29859999999999998</v>
      </c>
      <c r="F22" s="77">
        <v>0.29859999999999998</v>
      </c>
    </row>
    <row r="23" spans="1:6" ht="15.75" customHeight="1" x14ac:dyDescent="0.2">
      <c r="B23" s="24" t="s">
        <v>129</v>
      </c>
      <c r="C23" s="77">
        <f>SUM(C14:C22)</f>
        <v>1</v>
      </c>
      <c r="D23" s="77">
        <f t="shared" ref="D23:F23" si="0">SUM(D14:D22)</f>
        <v>1</v>
      </c>
      <c r="E23" s="77">
        <f t="shared" si="0"/>
        <v>1</v>
      </c>
      <c r="F23" s="77">
        <f t="shared" si="0"/>
        <v>1</v>
      </c>
    </row>
    <row r="24" spans="1:6" ht="15.75" customHeight="1" x14ac:dyDescent="0.2">
      <c r="B24" s="24"/>
    </row>
    <row r="25" spans="1:6" ht="15.75" customHeight="1" x14ac:dyDescent="0.2">
      <c r="A25" t="s">
        <v>32</v>
      </c>
      <c r="B25" s="113" t="s">
        <v>213</v>
      </c>
      <c r="C25" s="114" t="s">
        <v>32</v>
      </c>
    </row>
    <row r="26" spans="1:6" ht="15.75" customHeight="1" x14ac:dyDescent="0.2">
      <c r="B26" s="24" t="s">
        <v>38</v>
      </c>
      <c r="C26" s="78">
        <v>8.8900000000000007E-2</v>
      </c>
    </row>
    <row r="27" spans="1:6" ht="15.75" customHeight="1" x14ac:dyDescent="0.2">
      <c r="B27" s="24" t="s">
        <v>39</v>
      </c>
      <c r="C27" s="78">
        <v>8.6999999999999994E-3</v>
      </c>
    </row>
    <row r="28" spans="1:6" ht="15.75" customHeight="1" x14ac:dyDescent="0.2">
      <c r="B28" s="24" t="s">
        <v>40</v>
      </c>
      <c r="C28" s="78">
        <v>0.1575</v>
      </c>
    </row>
    <row r="29" spans="1:6" ht="15.75" customHeight="1" x14ac:dyDescent="0.2">
      <c r="B29" s="24" t="s">
        <v>41</v>
      </c>
      <c r="C29" s="78">
        <v>0.16980000000000001</v>
      </c>
    </row>
    <row r="30" spans="1:6" ht="15.75" customHeight="1" x14ac:dyDescent="0.2">
      <c r="B30" s="24" t="s">
        <v>42</v>
      </c>
      <c r="C30" s="78">
        <v>0.10489999999999999</v>
      </c>
    </row>
    <row r="31" spans="1:6" ht="15.75" customHeight="1" x14ac:dyDescent="0.2">
      <c r="B31" s="24" t="s">
        <v>43</v>
      </c>
      <c r="C31" s="78">
        <v>0.1087</v>
      </c>
    </row>
    <row r="32" spans="1:6" ht="15.75" customHeight="1" x14ac:dyDescent="0.2">
      <c r="B32" s="24" t="s">
        <v>44</v>
      </c>
      <c r="C32" s="78">
        <v>1.8800000000000001E-2</v>
      </c>
    </row>
    <row r="33" spans="2:3" ht="15.75" customHeight="1" x14ac:dyDescent="0.2">
      <c r="B33" s="24" t="s">
        <v>45</v>
      </c>
      <c r="C33" s="78">
        <v>8.5800000000000001E-2</v>
      </c>
    </row>
    <row r="34" spans="2:3" ht="15.75" customHeight="1" x14ac:dyDescent="0.2">
      <c r="B34" s="24" t="s">
        <v>46</v>
      </c>
      <c r="C34" s="78">
        <v>0.25690000000000002</v>
      </c>
    </row>
    <row r="35" spans="2:3" ht="15.75" customHeight="1" x14ac:dyDescent="0.2">
      <c r="B35" s="24" t="s">
        <v>129</v>
      </c>
      <c r="C35" s="77">
        <f>SUM(C26:C34)</f>
        <v>1</v>
      </c>
    </row>
  </sheetData>
  <phoneticPr fontId="9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B1" zoomScale="93" zoomScaleNormal="60" workbookViewId="0">
      <selection activeCell="H1" sqref="H1:H11"/>
    </sheetView>
  </sheetViews>
  <sheetFormatPr defaultColWidth="14.42578125" defaultRowHeight="15.75" customHeight="1" x14ac:dyDescent="0.2"/>
  <cols>
    <col min="1" max="1" width="31.42578125" customWidth="1"/>
    <col min="2" max="2" width="24" customWidth="1"/>
    <col min="8" max="8" width="16.140625" bestFit="1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">
      <c r="A2" s="6" t="s">
        <v>115</v>
      </c>
      <c r="B2" s="13" t="s">
        <v>117</v>
      </c>
      <c r="C2" s="99">
        <v>0.71207710000000002</v>
      </c>
      <c r="D2" s="99">
        <v>0.71207710000000002</v>
      </c>
      <c r="E2" s="99">
        <v>0.74443610000000005</v>
      </c>
      <c r="F2" s="99">
        <v>0.2496526</v>
      </c>
      <c r="G2" s="99">
        <v>0.25465359999999998</v>
      </c>
    </row>
    <row r="3" spans="1:15" ht="15.75" customHeight="1" x14ac:dyDescent="0.2">
      <c r="A3" s="5"/>
      <c r="B3" s="13" t="s">
        <v>118</v>
      </c>
      <c r="C3" s="99">
        <v>4.4070900000000003E-2</v>
      </c>
      <c r="D3" s="99">
        <v>4.4070900000000003E-2</v>
      </c>
      <c r="E3" s="99">
        <v>0.16228290000000001</v>
      </c>
      <c r="F3" s="99">
        <v>0.2867673</v>
      </c>
      <c r="G3" s="99">
        <v>0.25534180000000001</v>
      </c>
    </row>
    <row r="4" spans="1:15" ht="15.75" customHeight="1" x14ac:dyDescent="0.2">
      <c r="A4" s="5"/>
      <c r="B4" s="13" t="s">
        <v>116</v>
      </c>
      <c r="C4" s="99">
        <v>9.0076600000000007E-2</v>
      </c>
      <c r="D4" s="99">
        <v>9.0076600000000007E-2</v>
      </c>
      <c r="E4" s="99">
        <v>8.2347199999999995E-2</v>
      </c>
      <c r="F4" s="99">
        <v>0.35945739999999998</v>
      </c>
      <c r="G4" s="99">
        <v>0.30487579999999997</v>
      </c>
    </row>
    <row r="5" spans="1:15" ht="15.75" customHeight="1" x14ac:dyDescent="0.2">
      <c r="A5" s="5"/>
      <c r="B5" s="13" t="s">
        <v>119</v>
      </c>
      <c r="C5" s="99">
        <v>0.15377540000000001</v>
      </c>
      <c r="D5" s="99">
        <v>0.15377540000000001</v>
      </c>
      <c r="E5" s="99">
        <v>1.0933699999999999E-2</v>
      </c>
      <c r="F5" s="99">
        <v>0.1041228</v>
      </c>
      <c r="G5" s="99">
        <v>0.18512880000000001</v>
      </c>
      <c r="H5" s="88"/>
    </row>
    <row r="6" spans="1:15" ht="15.75" customHeight="1" x14ac:dyDescent="0.2">
      <c r="B6" s="15"/>
      <c r="C6" s="29"/>
      <c r="D6" s="29"/>
      <c r="E6" s="29"/>
      <c r="F6" s="29"/>
      <c r="G6" s="29"/>
    </row>
    <row r="7" spans="1:15" ht="15.75" customHeight="1" x14ac:dyDescent="0.2">
      <c r="B7" s="15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9" t="s">
        <v>120</v>
      </c>
      <c r="C8" s="99">
        <v>0.87669949999999996</v>
      </c>
      <c r="D8" s="99">
        <v>0.87669949999999996</v>
      </c>
      <c r="E8" s="99">
        <v>0.75957989999999997</v>
      </c>
      <c r="F8" s="99">
        <v>0.53997110000000004</v>
      </c>
      <c r="G8" s="99">
        <v>0.82182310000000003</v>
      </c>
    </row>
    <row r="9" spans="1:15" ht="15.75" customHeight="1" x14ac:dyDescent="0.2">
      <c r="B9" s="9" t="s">
        <v>121</v>
      </c>
      <c r="C9" s="99">
        <v>5.70441E-2</v>
      </c>
      <c r="D9" s="99">
        <v>5.70441E-2</v>
      </c>
      <c r="E9" s="99">
        <v>0.16160279999999999</v>
      </c>
      <c r="F9" s="99">
        <v>0.44257239999999998</v>
      </c>
      <c r="G9" s="99">
        <v>0.10509400000000001</v>
      </c>
    </row>
    <row r="10" spans="1:15" ht="15.75" customHeight="1" x14ac:dyDescent="0.2">
      <c r="B10" s="9" t="s">
        <v>122</v>
      </c>
      <c r="C10" s="99">
        <v>5.2884999999999998E-3</v>
      </c>
      <c r="D10" s="99">
        <v>5.2884999999999998E-3</v>
      </c>
      <c r="E10" s="99">
        <v>7.8817300000000007E-2</v>
      </c>
      <c r="F10" s="99">
        <v>1.74565E-2</v>
      </c>
      <c r="G10" s="99">
        <v>4.76462E-2</v>
      </c>
    </row>
    <row r="11" spans="1:15" ht="15.75" customHeight="1" x14ac:dyDescent="0.2">
      <c r="B11" s="9" t="s">
        <v>123</v>
      </c>
      <c r="C11" s="99">
        <v>6.0967899999999998E-2</v>
      </c>
      <c r="D11" s="99">
        <v>6.0967899999999998E-2</v>
      </c>
      <c r="E11" s="99">
        <v>0</v>
      </c>
      <c r="F11" s="99">
        <v>0</v>
      </c>
      <c r="G11" s="99">
        <v>2.54367E-2</v>
      </c>
    </row>
    <row r="12" spans="1:15" ht="15.75" customHeight="1" x14ac:dyDescent="0.2">
      <c r="C12" s="10"/>
      <c r="D12" s="10"/>
      <c r="E12" s="10"/>
      <c r="F12" s="10"/>
      <c r="G12" s="10"/>
      <c r="I12" s="16"/>
      <c r="J12" s="16"/>
      <c r="K12" s="16"/>
      <c r="L12" s="16"/>
      <c r="M12" s="16"/>
      <c r="N12" s="16"/>
      <c r="O12" s="16"/>
    </row>
    <row r="13" spans="1:15" ht="27" customHeight="1" x14ac:dyDescent="0.2">
      <c r="A13" s="14" t="s">
        <v>70</v>
      </c>
      <c r="C13" s="45" t="s">
        <v>1</v>
      </c>
      <c r="D13" s="45" t="s">
        <v>2</v>
      </c>
      <c r="E13" s="45" t="s">
        <v>3</v>
      </c>
      <c r="F13" s="45" t="s">
        <v>4</v>
      </c>
      <c r="G13" s="45" t="s">
        <v>5</v>
      </c>
      <c r="H13" s="79" t="s">
        <v>53</v>
      </c>
      <c r="I13" s="79" t="s">
        <v>54</v>
      </c>
      <c r="J13" s="79" t="s">
        <v>55</v>
      </c>
      <c r="K13" s="79" t="s">
        <v>56</v>
      </c>
      <c r="L13" s="79" t="s">
        <v>49</v>
      </c>
      <c r="M13" s="79" t="s">
        <v>50</v>
      </c>
      <c r="N13" s="79" t="s">
        <v>51</v>
      </c>
      <c r="O13" s="79" t="s">
        <v>52</v>
      </c>
    </row>
    <row r="14" spans="1:15" ht="15.75" customHeight="1" x14ac:dyDescent="0.2">
      <c r="B14" s="17" t="s">
        <v>131</v>
      </c>
      <c r="C14" s="99">
        <v>0.80879999999999996</v>
      </c>
      <c r="D14" s="99">
        <v>0.80879999999999996</v>
      </c>
      <c r="E14" s="99">
        <v>0.80879999999999996</v>
      </c>
      <c r="F14" s="99">
        <v>0.71779999999999999</v>
      </c>
      <c r="G14" s="99">
        <v>0.78349999999999997</v>
      </c>
      <c r="H14" s="105">
        <v>0.77480000000000004</v>
      </c>
      <c r="I14" s="105">
        <v>0.55230000000000001</v>
      </c>
      <c r="J14" s="105">
        <v>0.81340000000000001</v>
      </c>
      <c r="K14" s="105">
        <v>0</v>
      </c>
      <c r="L14" s="105">
        <v>0.71299999999999997</v>
      </c>
      <c r="M14" s="105">
        <v>0.36870000000000003</v>
      </c>
      <c r="N14" s="105">
        <v>0.46439999999999998</v>
      </c>
      <c r="O14" s="105">
        <v>0.62180000000000002</v>
      </c>
    </row>
    <row r="15" spans="1:15" ht="15.75" customHeight="1" x14ac:dyDescent="0.2">
      <c r="B15" s="17" t="s">
        <v>68</v>
      </c>
      <c r="C15" s="33">
        <f t="shared" ref="C15:O15" si="0">iron_deficiency_anaemia*C14</f>
        <v>0.35198975999999998</v>
      </c>
      <c r="D15" s="33">
        <f t="shared" si="0"/>
        <v>0.35198975999999998</v>
      </c>
      <c r="E15" s="33">
        <f t="shared" si="0"/>
        <v>0.35198975999999998</v>
      </c>
      <c r="F15" s="33">
        <f t="shared" si="0"/>
        <v>0.31238655999999998</v>
      </c>
      <c r="G15" s="33">
        <f t="shared" si="0"/>
        <v>0.34097919999999998</v>
      </c>
      <c r="H15" s="33">
        <f t="shared" si="0"/>
        <v>0.33719295999999999</v>
      </c>
      <c r="I15" s="33">
        <f t="shared" si="0"/>
        <v>0.24036095999999998</v>
      </c>
      <c r="J15" s="33">
        <f t="shared" si="0"/>
        <v>0.35399167999999998</v>
      </c>
      <c r="K15" s="33">
        <f t="shared" si="0"/>
        <v>0</v>
      </c>
      <c r="L15" s="33">
        <f t="shared" si="0"/>
        <v>0.31029759999999995</v>
      </c>
      <c r="M15" s="33">
        <f t="shared" si="0"/>
        <v>0.16045824</v>
      </c>
      <c r="N15" s="33">
        <f t="shared" si="0"/>
        <v>0.20210687999999999</v>
      </c>
      <c r="O15" s="33">
        <f t="shared" si="0"/>
        <v>0.27060736000000002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4" zoomScaleNormal="55" workbookViewId="0">
      <selection activeCell="H1" sqref="H1:H1048576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ht="12.75" customHeight="1" x14ac:dyDescent="0.2">
      <c r="A2" s="3" t="s">
        <v>24</v>
      </c>
      <c r="B2" s="46" t="s">
        <v>165</v>
      </c>
      <c r="C2" s="99">
        <v>1</v>
      </c>
      <c r="D2" s="99">
        <v>0.9042751</v>
      </c>
      <c r="E2" s="99">
        <v>0</v>
      </c>
      <c r="F2" s="99">
        <v>0</v>
      </c>
      <c r="G2" s="99">
        <v>0</v>
      </c>
    </row>
    <row r="3" spans="1:7" x14ac:dyDescent="0.2">
      <c r="B3" s="46" t="s">
        <v>166</v>
      </c>
      <c r="C3" s="106">
        <v>0</v>
      </c>
      <c r="D3" s="106">
        <v>0</v>
      </c>
      <c r="E3" s="106">
        <v>0</v>
      </c>
      <c r="F3" s="106">
        <v>0</v>
      </c>
      <c r="G3" s="106">
        <v>0</v>
      </c>
    </row>
    <row r="4" spans="1:7" x14ac:dyDescent="0.2">
      <c r="B4" s="46" t="s">
        <v>167</v>
      </c>
      <c r="C4" s="106">
        <v>0</v>
      </c>
      <c r="D4" s="106">
        <v>9.5724900000000002E-2</v>
      </c>
      <c r="E4" s="101">
        <v>0.99616709999999997</v>
      </c>
      <c r="F4" s="101">
        <v>0.69069769999999997</v>
      </c>
      <c r="G4" s="101">
        <v>1.6511399999999999E-2</v>
      </c>
    </row>
    <row r="5" spans="1:7" x14ac:dyDescent="0.2">
      <c r="B5" s="46" t="s">
        <v>168</v>
      </c>
      <c r="C5" s="33">
        <f>1-SUM(C2:C4)</f>
        <v>0</v>
      </c>
      <c r="D5" s="33">
        <f t="shared" ref="D5:G5" si="0">1-SUM(D2:D4)</f>
        <v>0</v>
      </c>
      <c r="E5" s="33">
        <f t="shared" si="0"/>
        <v>3.832900000000028E-3</v>
      </c>
      <c r="F5" s="33">
        <f t="shared" si="0"/>
        <v>0.30930230000000003</v>
      </c>
      <c r="G5" s="33">
        <f t="shared" si="0"/>
        <v>0.98348860000000005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5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5"/>
    </row>
    <row r="4" spans="1:11" x14ac:dyDescent="0.2">
      <c r="A4" t="s">
        <v>140</v>
      </c>
      <c r="B4" s="15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5"/>
    </row>
    <row r="6" spans="1:11" x14ac:dyDescent="0.2">
      <c r="A6" t="s">
        <v>141</v>
      </c>
      <c r="B6" s="15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5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5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7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5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4" t="s">
        <v>74</v>
      </c>
      <c r="B13" s="35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7" t="s">
        <v>169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42578125" defaultRowHeight="12.75" x14ac:dyDescent="0.2"/>
  <cols>
    <col min="1" max="1" width="17" style="38" customWidth="1"/>
    <col min="2" max="2" width="19.140625" style="38" customWidth="1"/>
    <col min="3" max="3" width="13.42578125" style="38" customWidth="1"/>
    <col min="4" max="16384" width="11.42578125" style="38"/>
  </cols>
  <sheetData>
    <row r="1" spans="1:5" x14ac:dyDescent="0.2">
      <c r="A1" s="51" t="s">
        <v>176</v>
      </c>
      <c r="B1" s="52" t="s">
        <v>175</v>
      </c>
      <c r="C1" s="52" t="s">
        <v>174</v>
      </c>
      <c r="D1" s="52" t="s">
        <v>173</v>
      </c>
      <c r="E1" s="52" t="s">
        <v>172</v>
      </c>
    </row>
    <row r="2" spans="1:5" x14ac:dyDescent="0.2">
      <c r="A2" s="50" t="s">
        <v>171</v>
      </c>
      <c r="B2" s="47" t="s">
        <v>32</v>
      </c>
      <c r="C2" s="70"/>
      <c r="D2" s="70" t="b">
        <v>1</v>
      </c>
      <c r="E2" s="71" t="b">
        <f>IF(E$7="","",E$7)</f>
        <v>1</v>
      </c>
    </row>
    <row r="3" spans="1:5" x14ac:dyDescent="0.2">
      <c r="A3" s="48"/>
      <c r="B3" s="47" t="s">
        <v>1</v>
      </c>
      <c r="C3" s="70"/>
      <c r="D3" s="70" t="b">
        <v>1</v>
      </c>
      <c r="E3" s="71" t="b">
        <f>IF(E$7="","",E$7)</f>
        <v>1</v>
      </c>
    </row>
    <row r="4" spans="1:5" x14ac:dyDescent="0.2">
      <c r="A4" s="48"/>
      <c r="B4" s="47" t="s">
        <v>2</v>
      </c>
      <c r="C4" s="70"/>
      <c r="D4" s="70" t="b">
        <v>1</v>
      </c>
      <c r="E4" s="71" t="b">
        <f>IF(E$7="","",E$7)</f>
        <v>1</v>
      </c>
    </row>
    <row r="5" spans="1:5" x14ac:dyDescent="0.2">
      <c r="A5" s="48"/>
      <c r="B5" s="47" t="s">
        <v>3</v>
      </c>
      <c r="C5" s="70"/>
      <c r="D5" s="70" t="b">
        <v>1</v>
      </c>
      <c r="E5" s="71" t="b">
        <f>IF(E$7="","",E$7)</f>
        <v>1</v>
      </c>
    </row>
    <row r="6" spans="1:5" x14ac:dyDescent="0.2">
      <c r="A6" s="48"/>
      <c r="B6" s="47" t="s">
        <v>4</v>
      </c>
      <c r="C6" s="70"/>
      <c r="D6" s="70" t="b">
        <v>1</v>
      </c>
      <c r="E6" s="71" t="b">
        <f>IF(E$7="","",E$7)</f>
        <v>1</v>
      </c>
    </row>
    <row r="7" spans="1:5" x14ac:dyDescent="0.2">
      <c r="A7" s="48"/>
      <c r="B7" s="47" t="s">
        <v>170</v>
      </c>
      <c r="C7" s="72"/>
      <c r="D7" s="73"/>
      <c r="E7" s="70" t="b">
        <v>1</v>
      </c>
    </row>
    <row r="8" spans="1:5" x14ac:dyDescent="0.2">
      <c r="C8" s="74"/>
      <c r="D8" s="74"/>
      <c r="E8" s="74"/>
    </row>
    <row r="9" spans="1:5" x14ac:dyDescent="0.2">
      <c r="A9" s="50" t="s">
        <v>198</v>
      </c>
      <c r="B9" s="47" t="s">
        <v>32</v>
      </c>
      <c r="C9" s="70" t="b">
        <v>1</v>
      </c>
      <c r="D9" s="70"/>
      <c r="E9" s="71" t="b">
        <f>IF(E$7="","",E$7)</f>
        <v>1</v>
      </c>
    </row>
    <row r="10" spans="1:5" x14ac:dyDescent="0.2">
      <c r="A10" s="48"/>
      <c r="B10" s="47" t="s">
        <v>1</v>
      </c>
      <c r="C10" s="70" t="b">
        <v>1</v>
      </c>
      <c r="D10" s="70"/>
      <c r="E10" s="71" t="b">
        <f>IF(E$7="","",E$7)</f>
        <v>1</v>
      </c>
    </row>
    <row r="11" spans="1:5" x14ac:dyDescent="0.2">
      <c r="A11" s="48"/>
      <c r="B11" s="47" t="s">
        <v>2</v>
      </c>
      <c r="C11" s="70" t="b">
        <v>1</v>
      </c>
      <c r="D11" s="70"/>
      <c r="E11" s="71" t="b">
        <f>IF(E$7="","",E$7)</f>
        <v>1</v>
      </c>
    </row>
    <row r="12" spans="1:5" x14ac:dyDescent="0.2">
      <c r="A12" s="48"/>
      <c r="B12" s="47" t="s">
        <v>3</v>
      </c>
      <c r="C12" s="70" t="b">
        <v>1</v>
      </c>
      <c r="D12" s="70"/>
      <c r="E12" s="71" t="b">
        <f>IF(E$7="","",E$7)</f>
        <v>1</v>
      </c>
    </row>
    <row r="13" spans="1:5" x14ac:dyDescent="0.2">
      <c r="A13" s="48"/>
      <c r="B13" s="47" t="s">
        <v>4</v>
      </c>
      <c r="C13" s="70" t="b">
        <v>1</v>
      </c>
      <c r="D13" s="70"/>
      <c r="E13" s="71" t="b">
        <f>IF(E$7="","",E$7)</f>
        <v>1</v>
      </c>
    </row>
    <row r="14" spans="1:5" x14ac:dyDescent="0.2">
      <c r="A14" s="48"/>
      <c r="B14" s="47" t="s">
        <v>170</v>
      </c>
      <c r="C14" s="72"/>
      <c r="D14" s="73"/>
      <c r="E14" s="70"/>
    </row>
    <row r="15" spans="1:5" x14ac:dyDescent="0.2">
      <c r="C15" s="74"/>
      <c r="D15" s="74"/>
      <c r="E15" s="74"/>
    </row>
    <row r="16" spans="1:5" x14ac:dyDescent="0.2">
      <c r="A16" s="50" t="s">
        <v>199</v>
      </c>
      <c r="B16" s="47" t="s">
        <v>32</v>
      </c>
      <c r="C16" s="70"/>
      <c r="D16" s="70"/>
      <c r="E16" s="71" t="b">
        <f>IF(E$7="","",E$7)</f>
        <v>1</v>
      </c>
    </row>
    <row r="17" spans="1:5" x14ac:dyDescent="0.2">
      <c r="A17" s="48"/>
      <c r="B17" s="47" t="s">
        <v>1</v>
      </c>
      <c r="C17" s="70"/>
      <c r="D17" s="70"/>
      <c r="E17" s="71" t="b">
        <f>IF(E$7="","",E$7)</f>
        <v>1</v>
      </c>
    </row>
    <row r="18" spans="1:5" x14ac:dyDescent="0.2">
      <c r="A18" s="48"/>
      <c r="B18" s="47" t="s">
        <v>2</v>
      </c>
      <c r="C18" s="70"/>
      <c r="D18" s="70"/>
      <c r="E18" s="71" t="b">
        <f>IF(E$7="","",E$7)</f>
        <v>1</v>
      </c>
    </row>
    <row r="19" spans="1:5" x14ac:dyDescent="0.2">
      <c r="A19" s="48"/>
      <c r="B19" s="47" t="s">
        <v>3</v>
      </c>
      <c r="C19" s="70"/>
      <c r="D19" s="70"/>
      <c r="E19" s="71" t="b">
        <f>IF(E$7="","",E$7)</f>
        <v>1</v>
      </c>
    </row>
    <row r="20" spans="1:5" x14ac:dyDescent="0.2">
      <c r="A20" s="48"/>
      <c r="B20" s="47" t="s">
        <v>4</v>
      </c>
      <c r="C20" s="70"/>
      <c r="D20" s="70"/>
      <c r="E20" s="71" t="b">
        <f>IF(E$7="","",E$7)</f>
        <v>1</v>
      </c>
    </row>
    <row r="21" spans="1:5" x14ac:dyDescent="0.2">
      <c r="A21" s="48"/>
      <c r="B21" s="47" t="s">
        <v>170</v>
      </c>
      <c r="C21" s="72"/>
      <c r="D21" s="73"/>
      <c r="E21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21" customWidth="1"/>
    <col min="4" max="4" width="12.85546875" customWidth="1"/>
  </cols>
  <sheetData>
    <row r="1" spans="1:4" x14ac:dyDescent="0.2">
      <c r="A1" s="66" t="s">
        <v>164</v>
      </c>
      <c r="B1" s="52" t="s">
        <v>179</v>
      </c>
      <c r="C1" s="67" t="s">
        <v>180</v>
      </c>
      <c r="D1" s="67" t="s">
        <v>184</v>
      </c>
    </row>
    <row r="2" spans="1:4" x14ac:dyDescent="0.2">
      <c r="A2" s="67" t="s">
        <v>69</v>
      </c>
      <c r="B2" s="47" t="s">
        <v>67</v>
      </c>
      <c r="C2" s="47" t="s">
        <v>181</v>
      </c>
      <c r="D2" s="70"/>
    </row>
    <row r="3" spans="1:4" x14ac:dyDescent="0.2">
      <c r="A3" s="67" t="s">
        <v>183</v>
      </c>
      <c r="B3" s="47" t="s">
        <v>174</v>
      </c>
      <c r="C3" s="47" t="s">
        <v>182</v>
      </c>
      <c r="D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2018-11-19T22:49:45Z</dcterms:modified>
</cp:coreProperties>
</file>