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A1990107-3276-4011-A62C-61C16672C13E}" xr6:coauthVersionLast="47" xr6:coauthVersionMax="47" xr10:uidLastSave="{00000000-0000-0000-0000-000000000000}"/>
  <bookViews>
    <workbookView xWindow="-108" yWindow="-108" windowWidth="23256" windowHeight="12456" tabRatio="961" firstSheet="1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A39" i="2"/>
  <c r="H38" i="2"/>
  <c r="G38" i="2"/>
  <c r="I38" i="2" s="1"/>
  <c r="A35" i="2"/>
  <c r="A34" i="2"/>
  <c r="A32" i="2"/>
  <c r="A27" i="2"/>
  <c r="A26" i="2"/>
  <c r="A24" i="2"/>
  <c r="A19" i="2"/>
  <c r="A18" i="2"/>
  <c r="A16" i="2"/>
  <c r="H11" i="2"/>
  <c r="I11" i="2" s="1"/>
  <c r="G11" i="2"/>
  <c r="H10" i="2"/>
  <c r="G10" i="2"/>
  <c r="I10" i="2" s="1"/>
  <c r="H9" i="2"/>
  <c r="I9" i="2" s="1"/>
  <c r="G9" i="2"/>
  <c r="H8" i="2"/>
  <c r="G8" i="2"/>
  <c r="I8" i="2" s="1"/>
  <c r="H7" i="2"/>
  <c r="I7" i="2" s="1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A3" i="2"/>
  <c r="H2" i="2"/>
  <c r="G2" i="2"/>
  <c r="I2" i="2" s="1"/>
  <c r="A2" i="2"/>
  <c r="A31" i="2" s="1"/>
  <c r="C33" i="1"/>
  <c r="C20" i="1"/>
  <c r="A17" i="2" l="1"/>
  <c r="A25" i="2"/>
  <c r="A33" i="2"/>
  <c r="A4" i="2"/>
  <c r="A5" i="2" s="1"/>
  <c r="A6" i="2" s="1"/>
  <c r="A7" i="2" s="1"/>
  <c r="A8" i="2" s="1"/>
  <c r="A9" i="2" s="1"/>
  <c r="A10" i="2" s="1"/>
  <c r="A11" i="2" s="1"/>
  <c r="A20" i="2"/>
  <c r="A28" i="2"/>
  <c r="A36" i="2"/>
  <c r="D58" i="20"/>
  <c r="A37" i="2"/>
  <c r="A14" i="2"/>
  <c r="A22" i="2"/>
  <c r="A30" i="2"/>
  <c r="A38" i="2"/>
  <c r="A40" i="2"/>
  <c r="A12" i="2"/>
  <c r="A13" i="2"/>
  <c r="A21" i="2"/>
  <c r="A29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<sst xmlns="http://schemas.openxmlformats.org/spreadsheetml/2006/main" count="2092" uniqueCount="341">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</sst>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46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441621.609375</v>
      </c>
    </row>
    <row r="8" spans="1:3" ht="15" customHeight="1" x14ac:dyDescent="0.25">
      <c r="B8" s="5" t="s">
        <v>8</v>
      </c>
      <c r="C8" s="44">
        <v>1.4999999999999999E-2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0.64993591308593812</v>
      </c>
    </row>
    <row r="11" spans="1:3" ht="15" customHeight="1" x14ac:dyDescent="0.25">
      <c r="B11" s="5" t="s">
        <v>11</v>
      </c>
      <c r="C11" s="45">
        <v>0.62</v>
      </c>
    </row>
    <row r="12" spans="1:3" ht="15" customHeight="1" x14ac:dyDescent="0.25">
      <c r="B12" s="5" t="s">
        <v>12</v>
      </c>
      <c r="C12" s="45">
        <v>0.72</v>
      </c>
    </row>
    <row r="13" spans="1:3" ht="15" customHeight="1" x14ac:dyDescent="0.25">
      <c r="B13" s="5" t="s">
        <v>13</v>
      </c>
      <c r="C13" s="45">
        <v>0.36399999999999999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3.5799999999999998E-2</v>
      </c>
    </row>
    <row r="24" spans="1:3" ht="15" customHeight="1" x14ac:dyDescent="0.25">
      <c r="B24" s="15" t="s">
        <v>22</v>
      </c>
      <c r="C24" s="45">
        <v>0.50009999999999999</v>
      </c>
    </row>
    <row r="25" spans="1:3" ht="15" customHeight="1" x14ac:dyDescent="0.25">
      <c r="B25" s="15" t="s">
        <v>23</v>
      </c>
      <c r="C25" s="45">
        <v>0.41830000000000001</v>
      </c>
    </row>
    <row r="26" spans="1:3" ht="15" customHeight="1" x14ac:dyDescent="0.25">
      <c r="B26" s="15" t="s">
        <v>24</v>
      </c>
      <c r="C26" s="45">
        <v>4.58E-2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0.35675533525383901</v>
      </c>
    </row>
    <row r="30" spans="1:3" ht="14.25" customHeight="1" x14ac:dyDescent="0.25">
      <c r="B30" s="25" t="s">
        <v>27</v>
      </c>
      <c r="C30" s="99">
        <v>6.5910586704521698E-2</v>
      </c>
    </row>
    <row r="31" spans="1:3" ht="14.25" customHeight="1" x14ac:dyDescent="0.25">
      <c r="B31" s="25" t="s">
        <v>28</v>
      </c>
      <c r="C31" s="99">
        <v>9.262041217609189E-2</v>
      </c>
    </row>
    <row r="32" spans="1:3" ht="14.25" customHeight="1" x14ac:dyDescent="0.25">
      <c r="B32" s="25" t="s">
        <v>29</v>
      </c>
      <c r="C32" s="99">
        <v>0.48471366586554798</v>
      </c>
    </row>
    <row r="33" spans="1:5" ht="13.2" customHeight="1" x14ac:dyDescent="0.25">
      <c r="B33" s="27" t="s">
        <v>30</v>
      </c>
      <c r="C33" s="48">
        <f>SUM(C29:C32)</f>
        <v>1.0000000000000004</v>
      </c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4.1519983789687398</v>
      </c>
    </row>
    <row r="38" spans="1:5" ht="15" customHeight="1" x14ac:dyDescent="0.25">
      <c r="B38" s="11" t="s">
        <v>34</v>
      </c>
      <c r="C38" s="43">
        <v>6.1646907738214702</v>
      </c>
      <c r="D38" s="12"/>
      <c r="E38" s="13"/>
    </row>
    <row r="39" spans="1:5" ht="15" customHeight="1" x14ac:dyDescent="0.25">
      <c r="B39" s="11" t="s">
        <v>35</v>
      </c>
      <c r="C39" s="43">
        <v>7.2091319367048596</v>
      </c>
      <c r="D39" s="12"/>
      <c r="E39" s="12"/>
    </row>
    <row r="40" spans="1:5" ht="15" customHeight="1" x14ac:dyDescent="0.25">
      <c r="B40" s="11" t="s">
        <v>36</v>
      </c>
      <c r="C40" s="100">
        <v>0.28999999999999998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6.3355821780000001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7.2855999999999997E-3</v>
      </c>
      <c r="D45" s="12"/>
    </row>
    <row r="46" spans="1:5" ht="15.75" customHeight="1" x14ac:dyDescent="0.25">
      <c r="B46" s="11" t="s">
        <v>41</v>
      </c>
      <c r="C46" s="45">
        <v>8.0365599999999995E-2</v>
      </c>
      <c r="D46" s="12"/>
    </row>
    <row r="47" spans="1:5" ht="15.75" customHeight="1" x14ac:dyDescent="0.25">
      <c r="B47" s="11" t="s">
        <v>42</v>
      </c>
      <c r="C47" s="45">
        <v>5.4261799999999999E-2</v>
      </c>
      <c r="D47" s="12"/>
      <c r="E47" s="13"/>
    </row>
    <row r="48" spans="1:5" ht="15" customHeight="1" x14ac:dyDescent="0.25">
      <c r="B48" s="11" t="s">
        <v>43</v>
      </c>
      <c r="C48" s="46">
        <v>0.85808700000000004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2.9</v>
      </c>
      <c r="D51" s="12"/>
    </row>
    <row r="52" spans="1:4" ht="15" customHeight="1" x14ac:dyDescent="0.25">
      <c r="B52" s="11" t="s">
        <v>46</v>
      </c>
      <c r="C52" s="100">
        <v>2.9</v>
      </c>
    </row>
    <row r="53" spans="1:4" ht="15.75" customHeight="1" x14ac:dyDescent="0.25">
      <c r="B53" s="11" t="s">
        <v>47</v>
      </c>
      <c r="C53" s="100">
        <v>2.9</v>
      </c>
    </row>
    <row r="54" spans="1:4" ht="15.75" customHeight="1" x14ac:dyDescent="0.25">
      <c r="B54" s="11" t="s">
        <v>48</v>
      </c>
      <c r="C54" s="100">
        <v>2.9</v>
      </c>
    </row>
    <row r="55" spans="1:4" ht="15.75" customHeight="1" x14ac:dyDescent="0.25">
      <c r="B55" s="11" t="s">
        <v>49</v>
      </c>
      <c r="C55" s="100">
        <v>2.9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2.0689655172413789E-2</v>
      </c>
    </row>
    <row r="59" spans="1:4" ht="15.75" customHeight="1" x14ac:dyDescent="0.25">
      <c r="B59" s="11" t="s">
        <v>52</v>
      </c>
      <c r="C59" s="45">
        <v>0.60774699999999993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9.2394466000000008E-2</v>
      </c>
    </row>
    <row r="63" spans="1:4" ht="15.75" customHeight="1" x14ac:dyDescent="0.25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90611.926999999996</v>
      </c>
      <c r="C2" s="49">
        <v>232000</v>
      </c>
      <c r="D2" s="49">
        <v>553000</v>
      </c>
      <c r="E2" s="49">
        <v>532000</v>
      </c>
      <c r="F2" s="49">
        <v>359000</v>
      </c>
      <c r="G2" s="17">
        <f t="shared" ref="G2:G11" si="0">C2+D2+E2+F2</f>
        <v>1676000</v>
      </c>
      <c r="H2" s="17">
        <f t="shared" ref="H2:H11" si="1">(B2 + stillbirth*B2/(1000-stillbirth))/(1-abortion)</f>
        <v>103624.62116670211</v>
      </c>
      <c r="I2" s="17">
        <f t="shared" ref="I2:I11" si="2">G2-H2</f>
        <v>1572375.3788332979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88289.5</v>
      </c>
      <c r="C3" s="50">
        <v>215000</v>
      </c>
      <c r="D3" s="50">
        <v>530000</v>
      </c>
      <c r="E3" s="50">
        <v>533000</v>
      </c>
      <c r="F3" s="50">
        <v>369000</v>
      </c>
      <c r="G3" s="17">
        <f t="shared" si="0"/>
        <v>1647000</v>
      </c>
      <c r="H3" s="17">
        <f t="shared" si="1"/>
        <v>100968.67259535874</v>
      </c>
      <c r="I3" s="17">
        <f t="shared" si="2"/>
        <v>1546031.3274046413</v>
      </c>
    </row>
    <row r="4" spans="1:9" ht="15.75" customHeight="1" x14ac:dyDescent="0.25">
      <c r="A4" s="5">
        <f t="shared" si="3"/>
        <v>2023</v>
      </c>
      <c r="B4" s="49">
        <v>85848.634999999995</v>
      </c>
      <c r="C4" s="50">
        <v>197000</v>
      </c>
      <c r="D4" s="50">
        <v>504000</v>
      </c>
      <c r="E4" s="50">
        <v>530000</v>
      </c>
      <c r="F4" s="50">
        <v>378000</v>
      </c>
      <c r="G4" s="17">
        <f t="shared" si="0"/>
        <v>1609000</v>
      </c>
      <c r="H4" s="17">
        <f t="shared" si="1"/>
        <v>98177.277253506429</v>
      </c>
      <c r="I4" s="17">
        <f t="shared" si="2"/>
        <v>1510822.7227464935</v>
      </c>
    </row>
    <row r="5" spans="1:9" ht="15.75" customHeight="1" x14ac:dyDescent="0.25">
      <c r="A5" s="5">
        <f t="shared" si="3"/>
        <v>2024</v>
      </c>
      <c r="B5" s="49">
        <v>83426.78</v>
      </c>
      <c r="C5" s="50">
        <v>182000</v>
      </c>
      <c r="D5" s="50">
        <v>476000</v>
      </c>
      <c r="E5" s="50">
        <v>526000</v>
      </c>
      <c r="F5" s="50">
        <v>390000</v>
      </c>
      <c r="G5" s="17">
        <f t="shared" si="0"/>
        <v>1574000</v>
      </c>
      <c r="H5" s="17">
        <f t="shared" si="1"/>
        <v>95407.621919990735</v>
      </c>
      <c r="I5" s="17">
        <f t="shared" si="2"/>
        <v>1478592.3780800092</v>
      </c>
    </row>
    <row r="6" spans="1:9" ht="15.75" customHeight="1" x14ac:dyDescent="0.25">
      <c r="A6" s="5">
        <f t="shared" si="3"/>
        <v>2025</v>
      </c>
      <c r="B6" s="49">
        <v>81169.274000000005</v>
      </c>
      <c r="C6" s="50">
        <v>169000</v>
      </c>
      <c r="D6" s="50">
        <v>448000</v>
      </c>
      <c r="E6" s="50">
        <v>518000</v>
      </c>
      <c r="F6" s="50">
        <v>400000</v>
      </c>
      <c r="G6" s="17">
        <f t="shared" si="0"/>
        <v>1535000</v>
      </c>
      <c r="H6" s="17">
        <f t="shared" si="1"/>
        <v>92825.917592793761</v>
      </c>
      <c r="I6" s="17">
        <f t="shared" si="2"/>
        <v>1442174.0824072063</v>
      </c>
    </row>
    <row r="7" spans="1:9" ht="15.75" customHeight="1" x14ac:dyDescent="0.25">
      <c r="A7" s="5">
        <f t="shared" si="3"/>
        <v>2026</v>
      </c>
      <c r="B7" s="49">
        <v>78058.998000000007</v>
      </c>
      <c r="C7" s="50">
        <v>161000</v>
      </c>
      <c r="D7" s="50">
        <v>423000</v>
      </c>
      <c r="E7" s="50">
        <v>509000</v>
      </c>
      <c r="F7" s="50">
        <v>410000</v>
      </c>
      <c r="G7" s="17">
        <f t="shared" si="0"/>
        <v>1503000</v>
      </c>
      <c r="H7" s="17">
        <f t="shared" si="1"/>
        <v>89268.977762743743</v>
      </c>
      <c r="I7" s="17">
        <f t="shared" si="2"/>
        <v>1413731.0222372562</v>
      </c>
    </row>
    <row r="8" spans="1:9" ht="15.75" customHeight="1" x14ac:dyDescent="0.25">
      <c r="A8" s="5">
        <f t="shared" si="3"/>
        <v>2027</v>
      </c>
      <c r="B8" s="49">
        <v>75180.588199999998</v>
      </c>
      <c r="C8" s="50">
        <v>156000</v>
      </c>
      <c r="D8" s="50">
        <v>398000</v>
      </c>
      <c r="E8" s="50">
        <v>499000</v>
      </c>
      <c r="F8" s="50">
        <v>422000</v>
      </c>
      <c r="G8" s="17">
        <f t="shared" si="0"/>
        <v>1475000</v>
      </c>
      <c r="H8" s="17">
        <f t="shared" si="1"/>
        <v>85977.202221014857</v>
      </c>
      <c r="I8" s="17">
        <f t="shared" si="2"/>
        <v>1389022.7977789852</v>
      </c>
    </row>
    <row r="9" spans="1:9" ht="15.75" customHeight="1" x14ac:dyDescent="0.25">
      <c r="A9" s="5">
        <f t="shared" si="3"/>
        <v>2028</v>
      </c>
      <c r="B9" s="49">
        <v>72519.372800000012</v>
      </c>
      <c r="C9" s="50">
        <v>154000</v>
      </c>
      <c r="D9" s="50">
        <v>374000</v>
      </c>
      <c r="E9" s="50">
        <v>488000</v>
      </c>
      <c r="F9" s="50">
        <v>433000</v>
      </c>
      <c r="G9" s="17">
        <f t="shared" si="0"/>
        <v>1449000</v>
      </c>
      <c r="H9" s="17">
        <f t="shared" si="1"/>
        <v>82933.81216411879</v>
      </c>
      <c r="I9" s="17">
        <f t="shared" si="2"/>
        <v>1366066.1878358813</v>
      </c>
    </row>
    <row r="10" spans="1:9" ht="15.75" customHeight="1" x14ac:dyDescent="0.25">
      <c r="A10" s="5">
        <f t="shared" si="3"/>
        <v>2029</v>
      </c>
      <c r="B10" s="49">
        <v>70021.757400000017</v>
      </c>
      <c r="C10" s="50">
        <v>152000</v>
      </c>
      <c r="D10" s="50">
        <v>351000</v>
      </c>
      <c r="E10" s="50">
        <v>476000</v>
      </c>
      <c r="F10" s="50">
        <v>443000</v>
      </c>
      <c r="G10" s="17">
        <f t="shared" si="0"/>
        <v>1422000</v>
      </c>
      <c r="H10" s="17">
        <f t="shared" si="1"/>
        <v>80077.516550351284</v>
      </c>
      <c r="I10" s="17">
        <f t="shared" si="2"/>
        <v>1341922.4834496486</v>
      </c>
    </row>
    <row r="11" spans="1:9" ht="15.75" customHeight="1" x14ac:dyDescent="0.25">
      <c r="A11" s="5">
        <f t="shared" si="3"/>
        <v>2030</v>
      </c>
      <c r="B11" s="49">
        <v>67638.661999999997</v>
      </c>
      <c r="C11" s="50">
        <v>149000</v>
      </c>
      <c r="D11" s="50">
        <v>331000</v>
      </c>
      <c r="E11" s="50">
        <v>463000</v>
      </c>
      <c r="F11" s="50">
        <v>453000</v>
      </c>
      <c r="G11" s="17">
        <f t="shared" si="0"/>
        <v>1396000</v>
      </c>
      <c r="H11" s="17">
        <f t="shared" si="1"/>
        <v>77352.187046773775</v>
      </c>
      <c r="I11" s="17">
        <f t="shared" si="2"/>
        <v>1318647.8129532263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0</v>
      </c>
    </row>
    <row r="4" spans="1:8" ht="15.75" customHeight="1" x14ac:dyDescent="0.25">
      <c r="B4" s="19" t="s">
        <v>69</v>
      </c>
      <c r="C4" s="101">
        <v>6.5611066876615234E-2</v>
      </c>
    </row>
    <row r="5" spans="1:8" ht="15.75" customHeight="1" x14ac:dyDescent="0.25">
      <c r="B5" s="19" t="s">
        <v>70</v>
      </c>
      <c r="C5" s="101">
        <v>2.641013492562843E-2</v>
      </c>
    </row>
    <row r="6" spans="1:8" ht="15.75" customHeight="1" x14ac:dyDescent="0.25">
      <c r="B6" s="19" t="s">
        <v>71</v>
      </c>
      <c r="C6" s="101">
        <v>0.12798221487456141</v>
      </c>
    </row>
    <row r="7" spans="1:8" ht="15.75" customHeight="1" x14ac:dyDescent="0.25">
      <c r="B7" s="19" t="s">
        <v>72</v>
      </c>
      <c r="C7" s="101">
        <v>0.37292150739684299</v>
      </c>
    </row>
    <row r="8" spans="1:8" ht="15.75" customHeight="1" x14ac:dyDescent="0.25">
      <c r="B8" s="19" t="s">
        <v>73</v>
      </c>
      <c r="C8" s="101">
        <v>0</v>
      </c>
    </row>
    <row r="9" spans="1:8" ht="15.75" customHeight="1" x14ac:dyDescent="0.25">
      <c r="B9" s="19" t="s">
        <v>74</v>
      </c>
      <c r="C9" s="101">
        <v>0.27433312317522701</v>
      </c>
    </row>
    <row r="10" spans="1:8" ht="15.75" customHeight="1" x14ac:dyDescent="0.25">
      <c r="B10" s="19" t="s">
        <v>75</v>
      </c>
      <c r="C10" s="101">
        <v>0.13274195275112499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6.5977717165078512E-2</v>
      </c>
      <c r="D14" s="55">
        <v>6.5977717165078512E-2</v>
      </c>
      <c r="E14" s="55">
        <v>6.5977717165078512E-2</v>
      </c>
      <c r="F14" s="55">
        <v>6.5977717165078512E-2</v>
      </c>
    </row>
    <row r="15" spans="1:8" ht="15.75" customHeight="1" x14ac:dyDescent="0.25">
      <c r="B15" s="19" t="s">
        <v>82</v>
      </c>
      <c r="C15" s="101">
        <v>0.1178857627358417</v>
      </c>
      <c r="D15" s="101">
        <v>0.1178857627358417</v>
      </c>
      <c r="E15" s="101">
        <v>0.1178857627358417</v>
      </c>
      <c r="F15" s="101">
        <v>0.1178857627358417</v>
      </c>
    </row>
    <row r="16" spans="1:8" ht="15.75" customHeight="1" x14ac:dyDescent="0.25">
      <c r="B16" s="19" t="s">
        <v>83</v>
      </c>
      <c r="C16" s="101">
        <v>1.990981811714156E-2</v>
      </c>
      <c r="D16" s="101">
        <v>1.990981811714156E-2</v>
      </c>
      <c r="E16" s="101">
        <v>1.990981811714156E-2</v>
      </c>
      <c r="F16" s="101">
        <v>1.990981811714156E-2</v>
      </c>
    </row>
    <row r="17" spans="1:8" ht="15.75" customHeight="1" x14ac:dyDescent="0.25">
      <c r="B17" s="19" t="s">
        <v>84</v>
      </c>
      <c r="C17" s="101">
        <v>3.980240696059875E-3</v>
      </c>
      <c r="D17" s="101">
        <v>3.980240696059875E-3</v>
      </c>
      <c r="E17" s="101">
        <v>3.980240696059875E-3</v>
      </c>
      <c r="F17" s="101">
        <v>3.980240696059875E-3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2.7485828575464739E-2</v>
      </c>
      <c r="D19" s="101">
        <v>2.7485828575464739E-2</v>
      </c>
      <c r="E19" s="101">
        <v>2.7485828575464739E-2</v>
      </c>
      <c r="F19" s="101">
        <v>2.7485828575464739E-2</v>
      </c>
    </row>
    <row r="20" spans="1:8" ht="15.75" customHeight="1" x14ac:dyDescent="0.25">
      <c r="B20" s="19" t="s">
        <v>87</v>
      </c>
      <c r="C20" s="101">
        <v>6.6334243382175674E-3</v>
      </c>
      <c r="D20" s="101">
        <v>6.6334243382175674E-3</v>
      </c>
      <c r="E20" s="101">
        <v>6.6334243382175674E-3</v>
      </c>
      <c r="F20" s="101">
        <v>6.6334243382175674E-3</v>
      </c>
    </row>
    <row r="21" spans="1:8" ht="15.75" customHeight="1" x14ac:dyDescent="0.25">
      <c r="B21" s="19" t="s">
        <v>88</v>
      </c>
      <c r="C21" s="101">
        <v>0.16834129214315979</v>
      </c>
      <c r="D21" s="101">
        <v>0.16834129214315979</v>
      </c>
      <c r="E21" s="101">
        <v>0.16834129214315979</v>
      </c>
      <c r="F21" s="101">
        <v>0.16834129214315979</v>
      </c>
    </row>
    <row r="22" spans="1:8" ht="15.75" customHeight="1" x14ac:dyDescent="0.25">
      <c r="B22" s="19" t="s">
        <v>89</v>
      </c>
      <c r="C22" s="101">
        <v>0.5897859162290362</v>
      </c>
      <c r="D22" s="101">
        <v>0.5897859162290362</v>
      </c>
      <c r="E22" s="101">
        <v>0.5897859162290362</v>
      </c>
      <c r="F22" s="101">
        <v>0.5897859162290362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4.5249643999999999E-2</v>
      </c>
    </row>
    <row r="27" spans="1:8" ht="15.75" customHeight="1" x14ac:dyDescent="0.25">
      <c r="B27" s="19" t="s">
        <v>92</v>
      </c>
      <c r="C27" s="101">
        <v>5.4447637999999993E-2</v>
      </c>
    </row>
    <row r="28" spans="1:8" ht="15.75" customHeight="1" x14ac:dyDescent="0.25">
      <c r="B28" s="19" t="s">
        <v>93</v>
      </c>
      <c r="C28" s="101">
        <v>9.8457505000000001E-2</v>
      </c>
    </row>
    <row r="29" spans="1:8" ht="15.75" customHeight="1" x14ac:dyDescent="0.25">
      <c r="B29" s="19" t="s">
        <v>94</v>
      </c>
      <c r="C29" s="101">
        <v>0.11500012900000001</v>
      </c>
    </row>
    <row r="30" spans="1:8" ht="15.75" customHeight="1" x14ac:dyDescent="0.25">
      <c r="B30" s="19" t="s">
        <v>95</v>
      </c>
      <c r="C30" s="101">
        <v>5.0745075000000001E-2</v>
      </c>
    </row>
    <row r="31" spans="1:8" ht="15.75" customHeight="1" x14ac:dyDescent="0.25">
      <c r="B31" s="19" t="s">
        <v>96</v>
      </c>
      <c r="C31" s="101">
        <v>3.6627643000000001E-2</v>
      </c>
    </row>
    <row r="32" spans="1:8" ht="15.75" customHeight="1" x14ac:dyDescent="0.25">
      <c r="B32" s="19" t="s">
        <v>97</v>
      </c>
      <c r="C32" s="101">
        <v>0.18180017400000001</v>
      </c>
    </row>
    <row r="33" spans="2:3" ht="15.75" customHeight="1" x14ac:dyDescent="0.25">
      <c r="B33" s="19" t="s">
        <v>98</v>
      </c>
      <c r="C33" s="101">
        <v>0.15539587599999999</v>
      </c>
    </row>
    <row r="34" spans="2:3" ht="15.75" customHeight="1" x14ac:dyDescent="0.25">
      <c r="B34" s="19" t="s">
        <v>99</v>
      </c>
      <c r="C34" s="101">
        <v>0.26227631499999998</v>
      </c>
    </row>
    <row r="35" spans="2:3" ht="15.75" customHeight="1" x14ac:dyDescent="0.25">
      <c r="B35" s="27" t="s">
        <v>30</v>
      </c>
      <c r="C35" s="48">
        <f>SUM(C26:C34)</f>
        <v>0.99999999900000014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0.51125461030683228</v>
      </c>
      <c r="D2" s="52">
        <f>IFERROR(1-_xlfn.NORM.DIST(_xlfn.NORM.INV(SUM(D4:D5), 0, 1) + 1, 0, 1, TRUE), "")</f>
        <v>0.51125461030683228</v>
      </c>
      <c r="E2" s="52">
        <f>IFERROR(1-_xlfn.NORM.DIST(_xlfn.NORM.INV(SUM(E4:E5), 0, 1) + 1, 0, 1, TRUE), "")</f>
        <v>0.53148410425577985</v>
      </c>
      <c r="F2" s="52">
        <f>IFERROR(1-_xlfn.NORM.DIST(_xlfn.NORM.INV(SUM(F4:F5), 0, 1) + 1, 0, 1, TRUE), "")</f>
        <v>0.42358529233759468</v>
      </c>
      <c r="G2" s="52">
        <f>IFERROR(1-_xlfn.NORM.DIST(_xlfn.NORM.INV(SUM(G4:G5), 0, 1) + 1, 0, 1, TRUE), "")</f>
        <v>0.42767758588363169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0.33682100652550928</v>
      </c>
      <c r="D3" s="52">
        <f>IFERROR(_xlfn.NORM.DIST(_xlfn.NORM.INV(SUM(D4:D5), 0, 1) + 1, 0, 1, TRUE) - SUM(D4:D5), "")</f>
        <v>0.33682100652550928</v>
      </c>
      <c r="E3" s="52">
        <f>IFERROR(_xlfn.NORM.DIST(_xlfn.NORM.INV(SUM(E4:E5), 0, 1) + 1, 0, 1, TRUE) - SUM(E4:E5), "")</f>
        <v>0.3282222649495557</v>
      </c>
      <c r="F3" s="52">
        <f>IFERROR(_xlfn.NORM.DIST(_xlfn.NORM.INV(SUM(F4:F5), 0, 1) + 1, 0, 1, TRUE) - SUM(F4:F5), "")</f>
        <v>0.36665929350606591</v>
      </c>
      <c r="G3" s="52">
        <f>IFERROR(_xlfn.NORM.DIST(_xlfn.NORM.INV(SUM(G4:G5), 0, 1) + 1, 0, 1, TRUE) - SUM(G4:G5), "")</f>
        <v>0.36556102396427448</v>
      </c>
    </row>
    <row r="4" spans="1:15" ht="15.75" customHeight="1" x14ac:dyDescent="0.25">
      <c r="B4" s="5" t="s">
        <v>104</v>
      </c>
      <c r="C4" s="45">
        <v>8.1864543355444006E-2</v>
      </c>
      <c r="D4" s="53">
        <v>8.1864543355444006E-2</v>
      </c>
      <c r="E4" s="53">
        <v>7.8992135379952894E-2</v>
      </c>
      <c r="F4" s="53">
        <v>0.116542775758953</v>
      </c>
      <c r="G4" s="53">
        <v>0.120554210605941</v>
      </c>
    </row>
    <row r="5" spans="1:15" ht="15.75" customHeight="1" x14ac:dyDescent="0.25">
      <c r="B5" s="5" t="s">
        <v>105</v>
      </c>
      <c r="C5" s="45">
        <v>7.0059839812214503E-2</v>
      </c>
      <c r="D5" s="53">
        <v>7.0059839812214503E-2</v>
      </c>
      <c r="E5" s="53">
        <v>6.1301495414711603E-2</v>
      </c>
      <c r="F5" s="53">
        <v>9.3212638397386402E-2</v>
      </c>
      <c r="G5" s="53">
        <v>8.6207179546152798E-2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0.59486060710049471</v>
      </c>
      <c r="D8" s="52">
        <f>IFERROR(1-_xlfn.NORM.DIST(_xlfn.NORM.INV(SUM(D10:D11), 0, 1) + 1, 0, 1, TRUE), "")</f>
        <v>0.59486060710049471</v>
      </c>
      <c r="E8" s="52">
        <f>IFERROR(1-_xlfn.NORM.DIST(_xlfn.NORM.INV(SUM(E10:E11), 0, 1) + 1, 0, 1, TRUE), "")</f>
        <v>0.6495610836668706</v>
      </c>
      <c r="F8" s="52">
        <f>IFERROR(1-_xlfn.NORM.DIST(_xlfn.NORM.INV(SUM(F10:F11), 0, 1) + 1, 0, 1, TRUE), "")</f>
        <v>0.69821910954317279</v>
      </c>
      <c r="G8" s="52">
        <f>IFERROR(1-_xlfn.NORM.DIST(_xlfn.NORM.INV(SUM(G10:G11), 0, 1) + 1, 0, 1, TRUE), "")</f>
        <v>0.72919705194287909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0.297663974136058</v>
      </c>
      <c r="D9" s="52">
        <f>IFERROR(_xlfn.NORM.DIST(_xlfn.NORM.INV(SUM(D10:D11), 0, 1) + 1, 0, 1, TRUE) - SUM(D10:D11), "")</f>
        <v>0.297663974136058</v>
      </c>
      <c r="E9" s="52">
        <f>IFERROR(_xlfn.NORM.DIST(_xlfn.NORM.INV(SUM(E10:E11), 0, 1) + 1, 0, 1, TRUE) - SUM(E10:E11), "")</f>
        <v>0.26728047090964552</v>
      </c>
      <c r="F9" s="52">
        <f>IFERROR(_xlfn.NORM.DIST(_xlfn.NORM.INV(SUM(F10:F11), 0, 1) + 1, 0, 1, TRUE) - SUM(F10:F11), "")</f>
        <v>0.23743554528173672</v>
      </c>
      <c r="G9" s="52">
        <f>IFERROR(_xlfn.NORM.DIST(_xlfn.NORM.INV(SUM(G10:G11), 0, 1) + 1, 0, 1, TRUE) - SUM(G10:G11), "")</f>
        <v>0.2171461807200854</v>
      </c>
    </row>
    <row r="10" spans="1:15" ht="15.75" customHeight="1" x14ac:dyDescent="0.25">
      <c r="B10" s="5" t="s">
        <v>109</v>
      </c>
      <c r="C10" s="45">
        <v>5.7609639214873401E-2</v>
      </c>
      <c r="D10" s="53">
        <v>5.7609639214873401E-2</v>
      </c>
      <c r="E10" s="53">
        <v>5.0233467655502698E-2</v>
      </c>
      <c r="F10" s="53">
        <v>4.0478961597489302E-2</v>
      </c>
      <c r="G10" s="53">
        <v>3.4215273556451001E-2</v>
      </c>
    </row>
    <row r="11" spans="1:15" ht="15.75" customHeight="1" x14ac:dyDescent="0.25">
      <c r="B11" s="5" t="s">
        <v>110</v>
      </c>
      <c r="C11" s="45">
        <v>4.9865779548573901E-2</v>
      </c>
      <c r="D11" s="53">
        <v>4.9865779548573901E-2</v>
      </c>
      <c r="E11" s="53">
        <v>3.2924977767981201E-2</v>
      </c>
      <c r="F11" s="53">
        <v>2.3866383577601201E-2</v>
      </c>
      <c r="G11" s="53">
        <v>1.94414937805845E-2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0.27132991649999999</v>
      </c>
      <c r="D14" s="54">
        <v>0.26430615274399999</v>
      </c>
      <c r="E14" s="54">
        <v>0.26430615274399999</v>
      </c>
      <c r="F14" s="54">
        <v>0.223280819125</v>
      </c>
      <c r="G14" s="54">
        <v>0.223280819125</v>
      </c>
      <c r="H14" s="45">
        <v>0.35199999999999998</v>
      </c>
      <c r="I14" s="55">
        <v>0.35199999999999998</v>
      </c>
      <c r="J14" s="55">
        <v>0.35199999999999998</v>
      </c>
      <c r="K14" s="55">
        <v>0.35199999999999998</v>
      </c>
      <c r="L14" s="45">
        <v>0.311</v>
      </c>
      <c r="M14" s="55">
        <v>0.311</v>
      </c>
      <c r="N14" s="55">
        <v>0.311</v>
      </c>
      <c r="O14" s="55">
        <v>0.311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0.16489994276312547</v>
      </c>
      <c r="D15" s="52">
        <f t="shared" si="0"/>
        <v>0.16063127141170774</v>
      </c>
      <c r="E15" s="52">
        <f t="shared" si="0"/>
        <v>0.16063127141170774</v>
      </c>
      <c r="F15" s="52">
        <f t="shared" si="0"/>
        <v>0.13569824798076136</v>
      </c>
      <c r="G15" s="52">
        <f t="shared" si="0"/>
        <v>0.13569824798076136</v>
      </c>
      <c r="H15" s="52">
        <f t="shared" si="0"/>
        <v>0.21392694399999995</v>
      </c>
      <c r="I15" s="52">
        <f t="shared" si="0"/>
        <v>0.21392694399999995</v>
      </c>
      <c r="J15" s="52">
        <f t="shared" si="0"/>
        <v>0.21392694399999995</v>
      </c>
      <c r="K15" s="52">
        <f t="shared" si="0"/>
        <v>0.21392694399999995</v>
      </c>
      <c r="L15" s="52">
        <f t="shared" si="0"/>
        <v>0.18900931699999998</v>
      </c>
      <c r="M15" s="52">
        <f t="shared" si="0"/>
        <v>0.18900931699999998</v>
      </c>
      <c r="N15" s="52">
        <f t="shared" si="0"/>
        <v>0.18900931699999998</v>
      </c>
      <c r="O15" s="52">
        <f t="shared" si="0"/>
        <v>0.18900931699999998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0.47441533830470101</v>
      </c>
      <c r="D2" s="53">
        <v>0.249006558518518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0.24064901516329801</v>
      </c>
      <c r="D3" s="53">
        <v>0.25356143296296302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0.22714206055871899</v>
      </c>
      <c r="D4" s="53">
        <v>0.38518552888888902</v>
      </c>
      <c r="E4" s="53">
        <v>0.76811478033432612</v>
      </c>
      <c r="F4" s="53">
        <v>0.45280809689485102</v>
      </c>
      <c r="G4" s="53">
        <v>0</v>
      </c>
    </row>
    <row r="5" spans="1:7" x14ac:dyDescent="0.25">
      <c r="B5" s="3" t="s">
        <v>122</v>
      </c>
      <c r="C5" s="52">
        <v>5.7793588639874799E-2</v>
      </c>
      <c r="D5" s="52">
        <v>0.109450569895523</v>
      </c>
      <c r="E5" s="52">
        <f>1-SUM(E2:E4)</f>
        <v>0.23188521966567388</v>
      </c>
      <c r="F5" s="52">
        <f>1-SUM(F2:F4)</f>
        <v>0.54719190310514898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x14ac:dyDescent="0.25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x14ac:dyDescent="0.25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47"/>
    </row>
    <row r="3" spans="1:4" x14ac:dyDescent="0.25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abSelected="1" topLeftCell="A10" zoomScale="70" zoomScaleNormal="70" workbookViewId="0">
      <selection activeCell="B2" sqref="B2:D39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26.4" customHeight="1" x14ac:dyDescent="0.25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</v>
      </c>
      <c r="C2" s="98">
        <v>0.95</v>
      </c>
      <c r="D2" s="56">
        <v>84.265913517575598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40.468189781356223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825.72943905266402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2.910507748141272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13.600489225152121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13.600489225152121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13.600489225152121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13.600489225152121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13.600489225152121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13.600489225152121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1.307255025047471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18.912221099022862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18.912221099022862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</v>
      </c>
      <c r="C21" s="98">
        <v>0.95</v>
      </c>
      <c r="D21" s="56">
        <v>36.461053003308884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23.778563587053029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</v>
      </c>
      <c r="C23" s="98">
        <v>0.95</v>
      </c>
      <c r="D23" s="56">
        <v>4.6470312755738146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</v>
      </c>
      <c r="C27" s="98">
        <v>0.95</v>
      </c>
      <c r="D27" s="56">
        <v>19.16115761564345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0.44400000000000001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173.52890625098581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2.636409199155751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</v>
      </c>
      <c r="C32" s="98">
        <v>0.95</v>
      </c>
      <c r="D32" s="56">
        <v>2.8673817503679651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0.98476639168253099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4.8852293917660123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2.9</v>
      </c>
      <c r="C2" s="21">
        <f>'Baseline year population inputs'!C52</f>
        <v>2.9</v>
      </c>
      <c r="D2" s="21">
        <f>'Baseline year population inputs'!C53</f>
        <v>2.9</v>
      </c>
      <c r="E2" s="21">
        <f>'Baseline year population inputs'!C54</f>
        <v>2.9</v>
      </c>
      <c r="F2" s="21">
        <f>'Baseline year population inputs'!C55</f>
        <v>2.9</v>
      </c>
    </row>
    <row r="3" spans="1:6" ht="15.75" customHeight="1" x14ac:dyDescent="0.25">
      <c r="A3" s="3" t="s">
        <v>204</v>
      </c>
      <c r="B3" s="21">
        <f>frac_mam_1month * 2.6</f>
        <v>0.14978506195867083</v>
      </c>
      <c r="C3" s="21">
        <f>frac_mam_1_5months * 2.6</f>
        <v>0.14978506195867083</v>
      </c>
      <c r="D3" s="21">
        <f>frac_mam_6_11months * 2.6</f>
        <v>0.13060701590430701</v>
      </c>
      <c r="E3" s="21">
        <f>frac_mam_12_23months * 2.6</f>
        <v>0.10524530015347219</v>
      </c>
      <c r="F3" s="21">
        <f>frac_mam_24_59months * 2.6</f>
        <v>8.8959711246772599E-2</v>
      </c>
    </row>
    <row r="4" spans="1:6" ht="15.75" customHeight="1" x14ac:dyDescent="0.25">
      <c r="A4" s="3" t="s">
        <v>205</v>
      </c>
      <c r="B4" s="21">
        <f>frac_sam_1month * 2.6</f>
        <v>0.12965102682629215</v>
      </c>
      <c r="C4" s="21">
        <f>frac_sam_1_5months * 2.6</f>
        <v>0.12965102682629215</v>
      </c>
      <c r="D4" s="21">
        <f>frac_sam_6_11months * 2.6</f>
        <v>8.5604942196751119E-2</v>
      </c>
      <c r="E4" s="21">
        <f>frac_sam_12_23months * 2.6</f>
        <v>6.2052597301763122E-2</v>
      </c>
      <c r="F4" s="21">
        <f>frac_sam_24_59months * 2.6</f>
        <v>5.0547883829519705E-2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0">
        <v>0</v>
      </c>
      <c r="D2" s="60">
        <f>food_insecure</f>
        <v>1.4999999999999999E-2</v>
      </c>
      <c r="E2" s="60">
        <f>food_insecure</f>
        <v>1.4999999999999999E-2</v>
      </c>
      <c r="F2" s="60">
        <f>food_insecure</f>
        <v>1.4999999999999999E-2</v>
      </c>
      <c r="G2" s="60">
        <f>food_insecure</f>
        <v>1.4999999999999999E-2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1.4999999999999999E-2</v>
      </c>
      <c r="F5" s="60">
        <f>food_insecure</f>
        <v>1.4999999999999999E-2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5.9999999999999984E-2</v>
      </c>
      <c r="D7" s="60">
        <f>diarrhoea_1_5mo*frac_diarrhea_severe</f>
        <v>5.9999999999999984E-2</v>
      </c>
      <c r="E7" s="60">
        <f>diarrhoea_6_11mo*frac_diarrhea_severe</f>
        <v>5.9999999999999984E-2</v>
      </c>
      <c r="F7" s="60">
        <f>diarrhoea_12_23mo*frac_diarrhea_severe</f>
        <v>5.9999999999999984E-2</v>
      </c>
      <c r="G7" s="60">
        <f>diarrhoea_24_59mo*frac_diarrhea_severe</f>
        <v>5.9999999999999984E-2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1.4999999999999999E-2</v>
      </c>
      <c r="F8" s="60">
        <f>food_insecure</f>
        <v>1.4999999999999999E-2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1.4999999999999999E-2</v>
      </c>
      <c r="F9" s="60">
        <f>food_insecure</f>
        <v>1.4999999999999999E-2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0.72</v>
      </c>
      <c r="E10" s="60">
        <f>IF(ISBLANK(comm_deliv), frac_children_health_facility,1)</f>
        <v>0.72</v>
      </c>
      <c r="F10" s="60">
        <f>IF(ISBLANK(comm_deliv), frac_children_health_facility,1)</f>
        <v>0.72</v>
      </c>
      <c r="G10" s="60">
        <f>IF(ISBLANK(comm_deliv), frac_children_health_facility,1)</f>
        <v>0.72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5.9999999999999984E-2</v>
      </c>
      <c r="D12" s="60">
        <f>diarrhoea_1_5mo*frac_diarrhea_severe</f>
        <v>5.9999999999999984E-2</v>
      </c>
      <c r="E12" s="60">
        <f>diarrhoea_6_11mo*frac_diarrhea_severe</f>
        <v>5.9999999999999984E-2</v>
      </c>
      <c r="F12" s="60">
        <f>diarrhoea_12_23mo*frac_diarrhea_severe</f>
        <v>5.9999999999999984E-2</v>
      </c>
      <c r="G12" s="60">
        <f>diarrhoea_24_59mo*frac_diarrhea_severe</f>
        <v>5.9999999999999984E-2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1.4999999999999999E-2</v>
      </c>
      <c r="I15" s="60">
        <f>food_insecure</f>
        <v>1.4999999999999999E-2</v>
      </c>
      <c r="J15" s="60">
        <f>food_insecure</f>
        <v>1.4999999999999999E-2</v>
      </c>
      <c r="K15" s="60">
        <f>food_insecure</f>
        <v>1.4999999999999999E-2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5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5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5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0.62</v>
      </c>
      <c r="I18" s="60">
        <f>frac_PW_health_facility</f>
        <v>0.62</v>
      </c>
      <c r="J18" s="60">
        <f>frac_PW_health_facility</f>
        <v>0.62</v>
      </c>
      <c r="K18" s="60">
        <f>frac_PW_health_facility</f>
        <v>0.62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0.36399999999999999</v>
      </c>
      <c r="M24" s="60">
        <f>famplan_unmet_need</f>
        <v>0.36399999999999999</v>
      </c>
      <c r="N24" s="60">
        <f>famplan_unmet_need</f>
        <v>0.36399999999999999</v>
      </c>
      <c r="O24" s="60">
        <f>famplan_unmet_need</f>
        <v>0.36399999999999999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0.1726341044616696</v>
      </c>
      <c r="M25" s="60">
        <f>(1-food_insecure)*(0.49)+food_insecure*(0.7)</f>
        <v>0.49314999999999998</v>
      </c>
      <c r="N25" s="60">
        <f>(1-food_insecure)*(0.49)+food_insecure*(0.7)</f>
        <v>0.49314999999999998</v>
      </c>
      <c r="O25" s="60">
        <f>(1-food_insecure)*(0.49)+food_insecure*(0.7)</f>
        <v>0.49314999999999998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7.3986044769286968E-2</v>
      </c>
      <c r="M26" s="60">
        <f>(1-food_insecure)*(0.21)+food_insecure*(0.3)</f>
        <v>0.21134999999999998</v>
      </c>
      <c r="N26" s="60">
        <f>(1-food_insecure)*(0.21)+food_insecure*(0.3)</f>
        <v>0.21134999999999998</v>
      </c>
      <c r="O26" s="60">
        <f>(1-food_insecure)*(0.21)+food_insecure*(0.3)</f>
        <v>0.21134999999999998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0.10344393768310528</v>
      </c>
      <c r="M27" s="60">
        <f>(1-food_insecure)*(0.3)</f>
        <v>0.29549999999999998</v>
      </c>
      <c r="N27" s="60">
        <f>(1-food_insecure)*(0.3)</f>
        <v>0.29549999999999998</v>
      </c>
      <c r="O27" s="60">
        <f>(1-food_insecure)*(0.3)</f>
        <v>0.29549999999999998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0.64993591308593812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05" customHeight="1" x14ac:dyDescent="0.3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3" t="s">
        <v>90</v>
      </c>
      <c r="C55" s="8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4"/>
      <c r="C56" s="8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4"/>
      <c r="C57" s="8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3" t="s">
        <v>67</v>
      </c>
      <c r="C58" s="8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4"/>
      <c r="C59" s="8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4"/>
      <c r="C60" s="8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3" t="s">
        <v>77</v>
      </c>
      <c r="C61" s="8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4"/>
      <c r="C62" s="8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4"/>
      <c r="C63" s="8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3" t="s">
        <v>78</v>
      </c>
      <c r="C64" s="8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4"/>
      <c r="C65" s="8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4"/>
      <c r="C66" s="8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3" t="s">
        <v>79</v>
      </c>
      <c r="C67" s="8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4"/>
      <c r="C68" s="8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4"/>
      <c r="C69" s="8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65" t="s">
        <v>150</v>
      </c>
      <c r="C70" s="8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4" t="s">
        <v>237</v>
      </c>
      <c r="B72" s="103" t="s">
        <v>90</v>
      </c>
      <c r="C72" s="8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4"/>
      <c r="C73" s="8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4"/>
      <c r="C74" s="8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3" t="s">
        <v>67</v>
      </c>
      <c r="C75" s="8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4"/>
      <c r="C76" s="8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4"/>
      <c r="C77" s="8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3" t="s">
        <v>77</v>
      </c>
      <c r="C78" s="8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4"/>
      <c r="C79" s="8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4"/>
      <c r="C80" s="8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3" t="s">
        <v>78</v>
      </c>
      <c r="C81" s="8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4"/>
      <c r="C82" s="8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4"/>
      <c r="C83" s="8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3" t="s">
        <v>79</v>
      </c>
      <c r="C84" s="8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4"/>
      <c r="C85" s="8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4"/>
      <c r="C86" s="8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65" t="s">
        <v>150</v>
      </c>
      <c r="C87" s="8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6" t="s">
        <v>238</v>
      </c>
      <c r="B89" s="103" t="s">
        <v>90</v>
      </c>
      <c r="C89" s="8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4"/>
      <c r="C90" s="8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4"/>
      <c r="C91" s="8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3" t="s">
        <v>67</v>
      </c>
      <c r="C92" s="8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4"/>
      <c r="C93" s="8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4"/>
      <c r="C94" s="8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3" t="s">
        <v>77</v>
      </c>
      <c r="C95" s="8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4"/>
      <c r="C96" s="8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4"/>
      <c r="C97" s="8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3" t="s">
        <v>78</v>
      </c>
      <c r="C98" s="8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4"/>
      <c r="C99" s="8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4"/>
      <c r="C100" s="8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3" t="s">
        <v>79</v>
      </c>
      <c r="C101" s="8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4"/>
      <c r="C102" s="8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4"/>
      <c r="C103" s="8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65" t="s">
        <v>150</v>
      </c>
      <c r="C104" s="8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3" t="s">
        <v>90</v>
      </c>
      <c r="C108" s="8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4"/>
      <c r="C109" s="8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4"/>
      <c r="C110" s="8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3" t="s">
        <v>67</v>
      </c>
      <c r="C111" s="8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4"/>
      <c r="C112" s="8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4"/>
      <c r="C113" s="8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3" t="s">
        <v>77</v>
      </c>
      <c r="C114" s="8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4"/>
      <c r="C115" s="8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4"/>
      <c r="C116" s="8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3" t="s">
        <v>78</v>
      </c>
      <c r="C117" s="8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4"/>
      <c r="C118" s="8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4"/>
      <c r="C119" s="8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3" t="s">
        <v>79</v>
      </c>
      <c r="C120" s="8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4"/>
      <c r="C121" s="8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4"/>
      <c r="C122" s="8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65" t="s">
        <v>150</v>
      </c>
      <c r="C123" s="8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4" t="s">
        <v>241</v>
      </c>
      <c r="B125" s="103" t="s">
        <v>90</v>
      </c>
      <c r="C125" s="8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4"/>
      <c r="C126" s="8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4"/>
      <c r="C127" s="8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3" t="s">
        <v>67</v>
      </c>
      <c r="C128" s="8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4"/>
      <c r="C129" s="8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4"/>
      <c r="C130" s="8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3" t="s">
        <v>77</v>
      </c>
      <c r="C131" s="8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4"/>
      <c r="C132" s="8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4"/>
      <c r="C133" s="8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3" t="s">
        <v>78</v>
      </c>
      <c r="C134" s="8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4"/>
      <c r="C135" s="8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4"/>
      <c r="C136" s="8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3" t="s">
        <v>79</v>
      </c>
      <c r="C137" s="8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4"/>
      <c r="C138" s="8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4"/>
      <c r="C139" s="8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65" t="s">
        <v>150</v>
      </c>
      <c r="C140" s="8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6" t="s">
        <v>242</v>
      </c>
      <c r="B142" s="103" t="s">
        <v>90</v>
      </c>
      <c r="C142" s="8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4"/>
      <c r="C143" s="8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4"/>
      <c r="C144" s="8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3" t="s">
        <v>67</v>
      </c>
      <c r="C145" s="8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4"/>
      <c r="C146" s="8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4"/>
      <c r="C147" s="8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3" t="s">
        <v>77</v>
      </c>
      <c r="C148" s="8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4"/>
      <c r="C149" s="8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4"/>
      <c r="C150" s="8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3" t="s">
        <v>78</v>
      </c>
      <c r="C151" s="8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4"/>
      <c r="C152" s="8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4"/>
      <c r="C153" s="8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3" t="s">
        <v>79</v>
      </c>
      <c r="C154" s="8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4"/>
      <c r="C155" s="8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4"/>
      <c r="C156" s="8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65" t="s">
        <v>150</v>
      </c>
      <c r="C157" s="8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68" customFormat="1" ht="18.75" customHeight="1" x14ac:dyDescent="0.25">
      <c r="A1" s="67" t="s">
        <v>243</v>
      </c>
    </row>
    <row r="2" spans="1:6" ht="15.75" customHeight="1" x14ac:dyDescent="0.25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25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25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25">
      <c r="A11" s="67" t="s">
        <v>246</v>
      </c>
      <c r="C11" s="74"/>
      <c r="D11" s="75"/>
      <c r="E11" s="75"/>
      <c r="F11" s="75"/>
    </row>
    <row r="12" spans="1:6" ht="15.75" customHeight="1" x14ac:dyDescent="0.25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4"/>
      <c r="B16" s="11"/>
      <c r="C16" s="76"/>
      <c r="D16" s="64"/>
      <c r="E16" s="64"/>
      <c r="F16" s="64"/>
    </row>
    <row r="17" spans="1:6" ht="15.75" customHeight="1" x14ac:dyDescent="0.25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25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5">
      <c r="A28" s="67" t="s">
        <v>243</v>
      </c>
    </row>
    <row r="29" spans="1:6" ht="15.75" customHeight="1" x14ac:dyDescent="0.25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25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5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5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5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25">
      <c r="A36" s="4" t="s">
        <v>251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25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11" t="s">
        <v>254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11" t="s">
        <v>255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4"/>
      <c r="B43" s="11"/>
      <c r="C43" s="76"/>
      <c r="D43" s="64"/>
      <c r="E43" s="64"/>
      <c r="F43" s="64"/>
    </row>
    <row r="44" spans="1:6" ht="15.75" customHeight="1" x14ac:dyDescent="0.25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5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5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5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5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5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5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5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5">
      <c r="A55" s="67" t="s">
        <v>243</v>
      </c>
    </row>
    <row r="56" spans="1:6" ht="15.75" customHeight="1" x14ac:dyDescent="0.25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25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5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5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5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25">
      <c r="A63" s="4" t="s">
        <v>258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25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11" t="s">
        <v>261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11" t="s">
        <v>262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4"/>
      <c r="B70" s="11"/>
      <c r="C70" s="76"/>
      <c r="D70" s="64"/>
      <c r="E70" s="64"/>
      <c r="F70" s="64"/>
    </row>
    <row r="71" spans="1:6" ht="15.75" customHeight="1" x14ac:dyDescent="0.25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5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5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5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5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5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5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5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68" customFormat="1" x14ac:dyDescent="0.25">
      <c r="A1" s="67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x14ac:dyDescent="0.25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5">
      <c r="A28" s="67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5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x14ac:dyDescent="0.25">
      <c r="A55" s="67" t="s">
        <v>274</v>
      </c>
    </row>
    <row r="56" spans="1:16" ht="26.4" customHeight="1" x14ac:dyDescent="0.25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x14ac:dyDescent="0.25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x14ac:dyDescent="0.25">
      <c r="A64" s="67" t="s">
        <v>278</v>
      </c>
    </row>
    <row r="65" spans="1:16" ht="26.4" customHeight="1" x14ac:dyDescent="0.25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5">
      <c r="A66" s="82"/>
      <c r="B66" s="8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5">
      <c r="A103" s="67" t="s">
        <v>280</v>
      </c>
    </row>
    <row r="104" spans="1:16" ht="26.4" customHeight="1" x14ac:dyDescent="0.25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5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5">
      <c r="A110" s="92" t="s">
        <v>235</v>
      </c>
      <c r="H110" s="92"/>
    </row>
    <row r="111" spans="1:16" x14ac:dyDescent="0.25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5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x14ac:dyDescent="0.25">
      <c r="A113" s="4"/>
      <c r="B113" s="8" t="s">
        <v>81</v>
      </c>
      <c r="C113" s="3" t="s">
        <v>267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268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269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270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268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269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270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268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269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270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268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269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270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8" t="s">
        <v>83</v>
      </c>
      <c r="C129" s="3" t="s">
        <v>267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268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269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270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268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269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270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x14ac:dyDescent="0.25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x14ac:dyDescent="0.25">
      <c r="A140" s="4"/>
      <c r="B140" s="8" t="s">
        <v>81</v>
      </c>
      <c r="C140" s="3" t="s">
        <v>267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268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204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205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268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204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205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268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204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205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268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204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205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8" t="s">
        <v>83</v>
      </c>
      <c r="C156" s="3" t="s">
        <v>267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268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204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205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268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204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205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.4" customHeight="1" x14ac:dyDescent="0.25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x14ac:dyDescent="0.25">
      <c r="A167" s="4"/>
      <c r="B167" s="8" t="s">
        <v>91</v>
      </c>
      <c r="C167" s="3" t="s">
        <v>276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5">
      <c r="C168" s="3" t="s">
        <v>277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5">
      <c r="C170" s="3" t="s">
        <v>277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5">
      <c r="C172" s="3" t="s">
        <v>277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.4" customHeight="1" x14ac:dyDescent="0.25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x14ac:dyDescent="0.25">
      <c r="A176" s="82"/>
      <c r="B176" s="8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5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" customHeight="1" x14ac:dyDescent="0.25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x14ac:dyDescent="0.25">
      <c r="A215" s="4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5">
      <c r="A220" s="92" t="s">
        <v>239</v>
      </c>
      <c r="H220" s="92"/>
    </row>
    <row r="221" spans="1:9" x14ac:dyDescent="0.25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5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x14ac:dyDescent="0.25">
      <c r="A223" s="4"/>
      <c r="B223" s="8" t="s">
        <v>81</v>
      </c>
      <c r="C223" s="3" t="s">
        <v>267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5">
      <c r="C224" s="3" t="s">
        <v>268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5">
      <c r="C225" s="3" t="s">
        <v>269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5">
      <c r="C226" s="3" t="s">
        <v>270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5">
      <c r="C228" s="3" t="s">
        <v>268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5">
      <c r="C229" s="3" t="s">
        <v>269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5">
      <c r="C230" s="3" t="s">
        <v>270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5">
      <c r="C232" s="3" t="s">
        <v>268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5">
      <c r="C233" s="3" t="s">
        <v>269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5">
      <c r="C234" s="3" t="s">
        <v>270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5">
      <c r="C236" s="3" t="s">
        <v>268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5">
      <c r="C237" s="3" t="s">
        <v>269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5">
      <c r="C238" s="3" t="s">
        <v>270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5">
      <c r="C240" s="3" t="s">
        <v>268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5">
      <c r="C241" s="3" t="s">
        <v>269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5">
      <c r="C242" s="3" t="s">
        <v>270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5">
      <c r="C244" s="3" t="s">
        <v>268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5">
      <c r="C245" s="3" t="s">
        <v>269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5">
      <c r="C246" s="3" t="s">
        <v>270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5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5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x14ac:dyDescent="0.25">
      <c r="A250" s="4"/>
      <c r="B250" s="8" t="s">
        <v>81</v>
      </c>
      <c r="C250" s="3" t="s">
        <v>267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5">
      <c r="C251" s="3" t="s">
        <v>268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5">
      <c r="C252" s="3" t="s">
        <v>204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5">
      <c r="C253" s="3" t="s">
        <v>205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5">
      <c r="C255" s="3" t="s">
        <v>268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5">
      <c r="C256" s="3" t="s">
        <v>204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5">
      <c r="C257" s="3" t="s">
        <v>205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5">
      <c r="C259" s="3" t="s">
        <v>268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5">
      <c r="C260" s="3" t="s">
        <v>204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5">
      <c r="C261" s="3" t="s">
        <v>205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5">
      <c r="C263" s="3" t="s">
        <v>268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5">
      <c r="C264" s="3" t="s">
        <v>204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5">
      <c r="C265" s="3" t="s">
        <v>205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5">
      <c r="C267" s="3" t="s">
        <v>268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5">
      <c r="C268" s="3" t="s">
        <v>204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5">
      <c r="C269" s="3" t="s">
        <v>205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5">
      <c r="C271" s="3" t="s">
        <v>268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5">
      <c r="C272" s="3" t="s">
        <v>204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5">
      <c r="C273" s="3" t="s">
        <v>205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" customHeight="1" x14ac:dyDescent="0.25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x14ac:dyDescent="0.25">
      <c r="A277" s="4"/>
      <c r="B277" s="8" t="s">
        <v>91</v>
      </c>
      <c r="C277" s="3" t="s">
        <v>276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5">
      <c r="C278" s="3" t="s">
        <v>277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5">
      <c r="C280" s="3" t="s">
        <v>277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5">
      <c r="C282" s="3" t="s">
        <v>277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" customHeight="1" x14ac:dyDescent="0.25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x14ac:dyDescent="0.25">
      <c r="A286" s="82"/>
      <c r="B286" s="8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5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" customHeight="1" x14ac:dyDescent="0.25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x14ac:dyDescent="0.25">
      <c r="A325" s="4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68" customFormat="1" ht="14.25" customHeight="1" x14ac:dyDescent="0.25">
      <c r="A1" s="67" t="s">
        <v>281</v>
      </c>
    </row>
    <row r="2" spans="1:7" ht="14.25" customHeight="1" x14ac:dyDescent="0.25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25">
      <c r="A11" s="67" t="s">
        <v>286</v>
      </c>
    </row>
    <row r="12" spans="1:7" ht="14.25" customHeight="1" x14ac:dyDescent="0.25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4"/>
      <c r="B13" s="11"/>
    </row>
    <row r="14" spans="1:7" s="68" customFormat="1" ht="14.25" customHeight="1" x14ac:dyDescent="0.25">
      <c r="A14" s="67" t="s">
        <v>287</v>
      </c>
    </row>
    <row r="15" spans="1:7" ht="14.25" customHeight="1" x14ac:dyDescent="0.25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25">
      <c r="A19" s="67" t="s">
        <v>291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235</v>
      </c>
    </row>
    <row r="24" spans="1:7" x14ac:dyDescent="0.25">
      <c r="A24" s="67" t="s">
        <v>281</v>
      </c>
      <c r="B24" s="68"/>
      <c r="C24" s="68"/>
      <c r="D24" s="68"/>
      <c r="E24" s="68"/>
      <c r="F24" s="68"/>
      <c r="G24" s="68"/>
    </row>
    <row r="25" spans="1:7" x14ac:dyDescent="0.25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4"/>
      <c r="B27" s="5" t="s">
        <v>293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4" t="s">
        <v>294</v>
      </c>
    </row>
    <row r="29" spans="1:7" x14ac:dyDescent="0.25">
      <c r="B29" s="5" t="s">
        <v>295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5" t="s">
        <v>296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5" t="s">
        <v>297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5" t="s">
        <v>298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7" t="s">
        <v>299</v>
      </c>
      <c r="B34" s="68"/>
      <c r="C34" s="68"/>
      <c r="D34" s="68"/>
      <c r="E34" s="68"/>
      <c r="F34" s="68"/>
      <c r="G34" s="68"/>
    </row>
    <row r="35" spans="1:7" x14ac:dyDescent="0.25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4"/>
      <c r="B36" s="11"/>
    </row>
    <row r="37" spans="1:7" x14ac:dyDescent="0.25">
      <c r="A37" s="67" t="s">
        <v>287</v>
      </c>
      <c r="B37" s="68"/>
      <c r="C37" s="68"/>
      <c r="D37" s="68"/>
      <c r="E37" s="68"/>
      <c r="F37" s="68"/>
      <c r="G37" s="68"/>
    </row>
    <row r="38" spans="1:7" x14ac:dyDescent="0.25">
      <c r="A38" s="82" t="s">
        <v>272</v>
      </c>
      <c r="B38" s="5" t="s">
        <v>301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4"/>
      <c r="B39" s="5" t="s">
        <v>302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11" t="s">
        <v>303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7" t="s">
        <v>304</v>
      </c>
      <c r="B42" s="68"/>
      <c r="C42" s="68"/>
      <c r="D42" s="68"/>
      <c r="E42" s="68"/>
      <c r="F42" s="68"/>
      <c r="G42" s="68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239</v>
      </c>
    </row>
    <row r="47" spans="1:7" x14ac:dyDescent="0.25">
      <c r="A47" s="67" t="s">
        <v>281</v>
      </c>
      <c r="B47" s="68"/>
      <c r="C47" s="68"/>
      <c r="D47" s="68"/>
      <c r="E47" s="68"/>
      <c r="F47" s="68"/>
      <c r="G47" s="68"/>
    </row>
    <row r="48" spans="1:7" x14ac:dyDescent="0.25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4"/>
      <c r="B50" s="5" t="s">
        <v>307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4" t="s">
        <v>308</v>
      </c>
    </row>
    <row r="52" spans="1:7" x14ac:dyDescent="0.25">
      <c r="B52" s="5" t="s">
        <v>309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5" t="s">
        <v>310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5" t="s">
        <v>311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5" t="s">
        <v>312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7" t="s">
        <v>313</v>
      </c>
      <c r="B57" s="68"/>
      <c r="C57" s="68"/>
      <c r="D57" s="68"/>
      <c r="E57" s="68"/>
      <c r="F57" s="68"/>
      <c r="G57" s="68"/>
    </row>
    <row r="58" spans="1:7" x14ac:dyDescent="0.25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4"/>
      <c r="B59" s="11"/>
    </row>
    <row r="60" spans="1:7" x14ac:dyDescent="0.25">
      <c r="A60" s="67" t="s">
        <v>287</v>
      </c>
      <c r="B60" s="68"/>
      <c r="C60" s="68"/>
      <c r="D60" s="68"/>
      <c r="E60" s="68"/>
      <c r="F60" s="68"/>
      <c r="G60" s="68"/>
    </row>
    <row r="61" spans="1:7" x14ac:dyDescent="0.25">
      <c r="A61" s="82" t="s">
        <v>272</v>
      </c>
      <c r="B61" s="5" t="s">
        <v>315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4"/>
      <c r="B62" s="5" t="s">
        <v>316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11" t="s">
        <v>317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7" t="s">
        <v>318</v>
      </c>
      <c r="B65" s="68"/>
      <c r="C65" s="68"/>
      <c r="D65" s="68"/>
      <c r="E65" s="68"/>
      <c r="F65" s="68"/>
      <c r="G65" s="68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5" t="s">
        <v>179</v>
      </c>
      <c r="B19" s="5" t="s">
        <v>320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5" t="s">
        <v>180</v>
      </c>
      <c r="B21" s="5" t="s">
        <v>320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5" t="s">
        <v>181</v>
      </c>
      <c r="B23" s="5" t="s">
        <v>320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5" t="s">
        <v>185</v>
      </c>
      <c r="B25" s="5" t="s">
        <v>320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5" t="s">
        <v>189</v>
      </c>
      <c r="B27" s="5" t="s">
        <v>320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5" t="s">
        <v>179</v>
      </c>
      <c r="B34" s="5" t="s">
        <v>320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5" t="s">
        <v>180</v>
      </c>
      <c r="B36" s="5" t="s">
        <v>320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5" t="s">
        <v>181</v>
      </c>
      <c r="B38" s="5" t="s">
        <v>320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5" t="s">
        <v>185</v>
      </c>
      <c r="B40" s="5" t="s">
        <v>320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5" t="s">
        <v>189</v>
      </c>
      <c r="B42" s="5" t="s">
        <v>320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x14ac:dyDescent="0.25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05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235</v>
      </c>
    </row>
    <row r="24" spans="1:15" ht="26.4" customHeight="1" x14ac:dyDescent="0.25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x14ac:dyDescent="0.25">
      <c r="A25" s="4" t="s">
        <v>324</v>
      </c>
    </row>
    <row r="26" spans="1:15" x14ac:dyDescent="0.25">
      <c r="B26" s="1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1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1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1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1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1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1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239</v>
      </c>
    </row>
    <row r="47" spans="1:15" ht="26.4" customHeight="1" x14ac:dyDescent="0.25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x14ac:dyDescent="0.25">
      <c r="A48" s="4" t="s">
        <v>326</v>
      </c>
    </row>
    <row r="49" spans="1:15" x14ac:dyDescent="0.25">
      <c r="B49" s="1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1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1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1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1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1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1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1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4" t="s">
        <v>327</v>
      </c>
      <c r="B63" s="11"/>
    </row>
    <row r="64" spans="1:15" x14ac:dyDescent="0.25">
      <c r="B64" s="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328</v>
      </c>
    </row>
    <row r="3" spans="1:7" x14ac:dyDescent="0.25">
      <c r="B3" s="1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330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333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x14ac:dyDescent="0.25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5" t="s">
        <v>340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5" t="s">
        <v>340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5" t="s">
        <v>340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5" t="s">
        <v>340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5" t="s">
        <v>340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330</v>
      </c>
      <c r="B55" s="97"/>
      <c r="C55" s="97"/>
    </row>
    <row r="56" spans="1:8" x14ac:dyDescent="0.25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5" t="s">
        <v>340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5" t="s">
        <v>340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5" t="s">
        <v>204</v>
      </c>
      <c r="C70" s="5" t="s">
        <v>338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5" t="s">
        <v>340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5" t="s">
        <v>340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5" t="s">
        <v>204</v>
      </c>
      <c r="C74" s="5" t="s">
        <v>338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5" t="s">
        <v>340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5" t="s">
        <v>340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5" t="s">
        <v>340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5" t="s">
        <v>340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5" t="s">
        <v>340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5" t="s">
        <v>82</v>
      </c>
      <c r="C100" s="5" t="s">
        <v>338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5" t="s">
        <v>340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333</v>
      </c>
      <c r="B110" s="97"/>
      <c r="C110" s="97"/>
    </row>
    <row r="111" spans="1:8" x14ac:dyDescent="0.25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5" t="s">
        <v>340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5" t="s">
        <v>340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5" t="s">
        <v>204</v>
      </c>
      <c r="C117" s="5" t="s">
        <v>338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5" t="s">
        <v>340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5" t="s">
        <v>340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5" t="s">
        <v>204</v>
      </c>
      <c r="C121" s="5" t="s">
        <v>338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5" t="s">
        <v>340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5" t="s">
        <v>340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5" t="s">
        <v>340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5" t="s">
        <v>340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5" t="s">
        <v>82</v>
      </c>
      <c r="C155" s="5" t="s">
        <v>338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5" t="s">
        <v>340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330</v>
      </c>
    </row>
    <row r="10" spans="1:8" x14ac:dyDescent="0.25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333</v>
      </c>
    </row>
    <row r="19" spans="1:7" x14ac:dyDescent="0.25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2023-01-27T00:42:39Z</dcterms:modified>
</cp:coreProperties>
</file>