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B308B711-1BDB-40E5-9537-7CC86D98814D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G40" i="2"/>
  <c r="I40" i="2" s="1"/>
  <c r="H39" i="2"/>
  <c r="G39" i="2"/>
  <c r="I39" i="2" s="1"/>
  <c r="H38" i="2"/>
  <c r="G38" i="2"/>
  <c r="A32" i="2"/>
  <c r="A31" i="2"/>
  <c r="A24" i="2"/>
  <c r="A16" i="2"/>
  <c r="H11" i="2"/>
  <c r="I11" i="2" s="1"/>
  <c r="G11" i="2"/>
  <c r="H10" i="2"/>
  <c r="I10" i="2" s="1"/>
  <c r="G10" i="2"/>
  <c r="H9" i="2"/>
  <c r="I9" i="2" s="1"/>
  <c r="G9" i="2"/>
  <c r="H8" i="2"/>
  <c r="I8" i="2" s="1"/>
  <c r="G8" i="2"/>
  <c r="I7" i="2"/>
  <c r="H7" i="2"/>
  <c r="G7" i="2"/>
  <c r="I6" i="2"/>
  <c r="H6" i="2"/>
  <c r="G6" i="2"/>
  <c r="H5" i="2"/>
  <c r="I5" i="2" s="1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5" i="2" l="1"/>
  <c r="A23" i="2"/>
  <c r="I38" i="2"/>
  <c r="A17" i="2"/>
  <c r="A25" i="2"/>
  <c r="A33" i="2"/>
  <c r="A18" i="2"/>
  <c r="A26" i="2"/>
  <c r="A34" i="2"/>
  <c r="A39" i="2"/>
  <c r="A19" i="2"/>
  <c r="A27" i="2"/>
  <c r="A35" i="2"/>
  <c r="A28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<sst xmlns="http://schemas.openxmlformats.org/spreadsheetml/2006/main" count="2092" uniqueCount="341">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</sst>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11962935.375</v>
      </c>
    </row>
    <row r="8" spans="1:3" ht="15" customHeight="1" x14ac:dyDescent="0.2">
      <c r="B8" s="5" t="s">
        <v>44</v>
      </c>
      <c r="C8" s="44">
        <v>6.0999999999999999E-2</v>
      </c>
    </row>
    <row r="9" spans="1:3" ht="15" customHeight="1" x14ac:dyDescent="0.2">
      <c r="B9" s="5" t="s">
        <v>43</v>
      </c>
      <c r="C9" s="45">
        <v>1.24E-2</v>
      </c>
    </row>
    <row r="10" spans="1:3" ht="15" customHeight="1" x14ac:dyDescent="0.2">
      <c r="B10" s="5" t="s">
        <v>56</v>
      </c>
      <c r="C10" s="45">
        <v>0.71803596496582001</v>
      </c>
    </row>
    <row r="11" spans="1:3" ht="15" customHeight="1" x14ac:dyDescent="0.2">
      <c r="B11" s="5" t="s">
        <v>49</v>
      </c>
      <c r="C11" s="45">
        <v>0.84299999999999997</v>
      </c>
    </row>
    <row r="12" spans="1:3" ht="15" customHeight="1" x14ac:dyDescent="0.2">
      <c r="B12" s="5" t="s">
        <v>41</v>
      </c>
      <c r="C12" s="45">
        <v>0.64</v>
      </c>
    </row>
    <row r="13" spans="1:3" ht="15" customHeight="1" x14ac:dyDescent="0.2">
      <c r="B13" s="5" t="s">
        <v>62</v>
      </c>
      <c r="C13" s="45">
        <v>0.48499999999999999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0.11020000000000001</v>
      </c>
    </row>
    <row r="24" spans="1:3" ht="15" customHeight="1" x14ac:dyDescent="0.2">
      <c r="B24" s="15" t="s">
        <v>46</v>
      </c>
      <c r="C24" s="45">
        <v>0.46769999999999989</v>
      </c>
    </row>
    <row r="25" spans="1:3" ht="15" customHeight="1" x14ac:dyDescent="0.2">
      <c r="B25" s="15" t="s">
        <v>47</v>
      </c>
      <c r="C25" s="45">
        <v>0.34789999999999999</v>
      </c>
    </row>
    <row r="26" spans="1:3" ht="15" customHeight="1" x14ac:dyDescent="0.2">
      <c r="B26" s="15" t="s">
        <v>48</v>
      </c>
      <c r="C26" s="45">
        <v>7.4200000000000002E-2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0.31143580129065701</v>
      </c>
    </row>
    <row r="30" spans="1:3" ht="14.25" customHeight="1" x14ac:dyDescent="0.2">
      <c r="B30" s="25" t="s">
        <v>63</v>
      </c>
      <c r="C30" s="99">
        <v>7.3599695917792002E-2</v>
      </c>
    </row>
    <row r="31" spans="1:3" ht="14.25" customHeight="1" x14ac:dyDescent="0.2">
      <c r="B31" s="25" t="s">
        <v>10</v>
      </c>
      <c r="C31" s="99">
        <v>9.4704824507158905E-2</v>
      </c>
    </row>
    <row r="32" spans="1:3" ht="14.25" customHeight="1" x14ac:dyDescent="0.2">
      <c r="B32" s="25" t="s">
        <v>11</v>
      </c>
      <c r="C32" s="99">
        <v>0.52025967828439201</v>
      </c>
    </row>
    <row r="33" spans="1:5" ht="13.15" customHeight="1" x14ac:dyDescent="0.2">
      <c r="B33" s="27" t="s">
        <v>60</v>
      </c>
      <c r="C33" s="48">
        <f>SUM(C29:C32)</f>
        <v>0.99999999999999989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13.2875297972992</v>
      </c>
    </row>
    <row r="38" spans="1:5" ht="15" customHeight="1" x14ac:dyDescent="0.2">
      <c r="B38" s="11" t="s">
        <v>35</v>
      </c>
      <c r="C38" s="43">
        <v>21.633118872448499</v>
      </c>
      <c r="D38" s="12"/>
      <c r="E38" s="13"/>
    </row>
    <row r="39" spans="1:5" ht="15" customHeight="1" x14ac:dyDescent="0.2">
      <c r="B39" s="11" t="s">
        <v>61</v>
      </c>
      <c r="C39" s="43">
        <v>27.278294861236098</v>
      </c>
      <c r="D39" s="12"/>
      <c r="E39" s="12"/>
    </row>
    <row r="40" spans="1:5" ht="15" customHeight="1" x14ac:dyDescent="0.2">
      <c r="B40" s="11" t="s">
        <v>36</v>
      </c>
      <c r="C40" s="100">
        <v>1.21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10.41556578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7.8117999999999998E-3</v>
      </c>
      <c r="D45" s="12"/>
    </row>
    <row r="46" spans="1:5" ht="15.75" customHeight="1" x14ac:dyDescent="0.2">
      <c r="B46" s="11" t="s">
        <v>51</v>
      </c>
      <c r="C46" s="45">
        <v>9.2349500000000001E-2</v>
      </c>
      <c r="D46" s="12"/>
    </row>
    <row r="47" spans="1:5" ht="15.75" customHeight="1" x14ac:dyDescent="0.2">
      <c r="B47" s="11" t="s">
        <v>59</v>
      </c>
      <c r="C47" s="45">
        <v>8.6490299999999992E-2</v>
      </c>
      <c r="D47" s="12"/>
      <c r="E47" s="13"/>
    </row>
    <row r="48" spans="1:5" ht="15" customHeight="1" x14ac:dyDescent="0.2">
      <c r="B48" s="11" t="s">
        <v>58</v>
      </c>
      <c r="C48" s="46">
        <v>0.81334839999999997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2.2000000000000002</v>
      </c>
      <c r="D51" s="12"/>
    </row>
    <row r="52" spans="1:4" ht="15" customHeight="1" x14ac:dyDescent="0.2">
      <c r="B52" s="11" t="s">
        <v>13</v>
      </c>
      <c r="C52" s="100">
        <v>2.2000000000000002</v>
      </c>
    </row>
    <row r="53" spans="1:4" ht="15.75" customHeight="1" x14ac:dyDescent="0.2">
      <c r="B53" s="11" t="s">
        <v>16</v>
      </c>
      <c r="C53" s="100">
        <v>2.2000000000000002</v>
      </c>
    </row>
    <row r="54" spans="1:4" ht="15.75" customHeight="1" x14ac:dyDescent="0.2">
      <c r="B54" s="11" t="s">
        <v>14</v>
      </c>
      <c r="C54" s="100">
        <v>2.2000000000000002</v>
      </c>
    </row>
    <row r="55" spans="1:4" ht="15.75" customHeight="1" x14ac:dyDescent="0.2">
      <c r="B55" s="11" t="s">
        <v>15</v>
      </c>
      <c r="C55" s="100">
        <v>2.2000000000000002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2.1363636363636359E-2</v>
      </c>
    </row>
    <row r="59" spans="1:4" ht="15.75" customHeight="1" x14ac:dyDescent="0.2">
      <c r="B59" s="11" t="s">
        <v>40</v>
      </c>
      <c r="C59" s="45">
        <v>0.52888299999999999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0.20147881000000001</v>
      </c>
    </row>
    <row r="63" spans="1:4" ht="15.75" customHeight="1" x14ac:dyDescent="0.2">
      <c r="A63" s="4"/>
    </row>
  </sheetData>
  <sheetProtection algorithmName="SHA-512" hashValue="yzX9hKzxcCNw1QqgjHzOmwlqDsNnTtjob0fPR1HWxchzfyKY2ja7aZaUe3W+ErJN8aAENuj72Q+lr7aawQ/N3w==" saltValue="UEvlQ14mGnQl0+onaWHqi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0.40452810463647698</v>
      </c>
      <c r="C2" s="98">
        <v>0.95</v>
      </c>
      <c r="D2" s="56">
        <v>50.420209969169832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39.709579037933892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295.10719290294543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0.38656991725663292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</v>
      </c>
      <c r="C10" s="98">
        <v>0.95</v>
      </c>
      <c r="D10" s="56">
        <v>12.8418784817298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</v>
      </c>
      <c r="C11" s="98">
        <v>0.95</v>
      </c>
      <c r="D11" s="56">
        <v>12.8418784817298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</v>
      </c>
      <c r="C12" s="98">
        <v>0.95</v>
      </c>
      <c r="D12" s="56">
        <v>12.8418784817298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</v>
      </c>
      <c r="C13" s="98">
        <v>0.95</v>
      </c>
      <c r="D13" s="56">
        <v>12.8418784817298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</v>
      </c>
      <c r="C14" s="98">
        <v>0.95</v>
      </c>
      <c r="D14" s="56">
        <v>12.8418784817298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</v>
      </c>
      <c r="C15" s="98">
        <v>0.95</v>
      </c>
      <c r="D15" s="56">
        <v>12.8418784817298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0.47412783438863898</v>
      </c>
      <c r="C16" s="98">
        <v>0.95</v>
      </c>
      <c r="D16" s="56">
        <v>0.54864428162514955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0.9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6.8391836861488278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6.8391836861488278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0.1019369507</v>
      </c>
      <c r="C21" s="98">
        <v>0.95</v>
      </c>
      <c r="D21" s="56">
        <v>3.9900848934620532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22.071689414352811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3.1E-2</v>
      </c>
      <c r="C23" s="98">
        <v>0.95</v>
      </c>
      <c r="D23" s="56">
        <v>4.1728995609348631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0.64923379646296298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0.43433056751162702</v>
      </c>
      <c r="C27" s="98">
        <v>0.95</v>
      </c>
      <c r="D27" s="56">
        <v>18.40378878530877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0.44794329999999999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</v>
      </c>
      <c r="C29" s="98">
        <v>0.95</v>
      </c>
      <c r="D29" s="56">
        <v>96.281170578850436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1E-3</v>
      </c>
      <c r="C31" s="98">
        <v>0.95</v>
      </c>
      <c r="D31" s="56">
        <v>3.165382982361816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0.31777070000000002</v>
      </c>
      <c r="C32" s="98">
        <v>0.95</v>
      </c>
      <c r="D32" s="56">
        <v>1.1605072878943321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0.76533502067423298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0.68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0.244018495082855</v>
      </c>
      <c r="C38" s="98">
        <v>0.95</v>
      </c>
      <c r="D38" s="56">
        <v>2.5690343142936309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0.53775850000000003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7OJdol0X3u2a/ncrsHNmrRjFUQ22wnk2cXFhM3GeZnUyA04LF7Ou9zGS1155ZT8aEIkdpeEjJHzGmcluj4LpVg==" saltValue="G+A3K2lbJwWm7HwuYysXS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eTAEF2gF0n4KoBKnRLmn3Ar7S1dgzuvJMJLfP/zajLHJK5whgZfGwv0ZfLd6FaNLvVDYCurisenDpIMxA0FsGw==" saltValue="57R648FKpYy9bwVEtkR7t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XM/nVlDjGmEE9jsZ91ofVgci+tNq1PxbO6fjqIwlItBOigsYZ7iIbG8caD4ctRk6VkDQ7JrT+cMTyg6tUxQYaA==" saltValue="ae1wMhmPrMiXNW3cR7yUm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2.2000000000000002</v>
      </c>
      <c r="C2" s="21">
        <f>'Entradas de población-año base'!C52</f>
        <v>2.2000000000000002</v>
      </c>
      <c r="D2" s="21">
        <f>'Entradas de población-año base'!C53</f>
        <v>2.2000000000000002</v>
      </c>
      <c r="E2" s="21">
        <f>'Entradas de población-año base'!C54</f>
        <v>2.2000000000000002</v>
      </c>
      <c r="F2" s="21">
        <f>'Entradas de población-año base'!C55</f>
        <v>2.2000000000000002</v>
      </c>
    </row>
    <row r="3" spans="1:6" ht="15.75" customHeight="1" x14ac:dyDescent="0.2">
      <c r="A3" s="3" t="s">
        <v>6</v>
      </c>
      <c r="B3" s="21">
        <f>frac_mam_1month * 2.6</f>
        <v>0.17420000000000002</v>
      </c>
      <c r="C3" s="21">
        <f>frac_mam_1_5months * 2.6</f>
        <v>0.17420000000000002</v>
      </c>
      <c r="D3" s="21">
        <f>frac_mam_6_11months * 2.6</f>
        <v>0.20800000000000002</v>
      </c>
      <c r="E3" s="21">
        <f>frac_mam_12_23months * 2.6</f>
        <v>0.17680000000000001</v>
      </c>
      <c r="F3" s="21">
        <f>frac_mam_24_59months * 2.6</f>
        <v>8.5800000000000001E-2</v>
      </c>
    </row>
    <row r="4" spans="1:6" ht="15.75" customHeight="1" x14ac:dyDescent="0.2">
      <c r="A4" s="3" t="s">
        <v>207</v>
      </c>
      <c r="B4" s="21">
        <f>frac_sam_1month * 2.6</f>
        <v>0.13780000000000001</v>
      </c>
      <c r="C4" s="21">
        <f>frac_sam_1_5months * 2.6</f>
        <v>0.13780000000000001</v>
      </c>
      <c r="D4" s="21">
        <f>frac_sam_6_11months * 2.6</f>
        <v>9.3600000000000003E-2</v>
      </c>
      <c r="E4" s="21">
        <f>frac_sam_12_23months * 2.6</f>
        <v>6.7599999999999993E-2</v>
      </c>
      <c r="F4" s="21">
        <f>frac_sam_24_59months * 2.6</f>
        <v>2.86E-2</v>
      </c>
    </row>
  </sheetData>
  <sheetProtection algorithmName="SHA-512" hashValue="2zY5aaN3a4tgS0i2yBDm6DK+GmM/gor5YCNsoq3GxpkMhXKraPrNaCRiSf4/LgPDRl9dHymBlCxGRpEhKukxjg==" saltValue="y0ZyWlvnSYFarBDkM0e/L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6.0999999999999999E-2</v>
      </c>
      <c r="E2" s="60">
        <f>food_insecure</f>
        <v>6.0999999999999999E-2</v>
      </c>
      <c r="F2" s="60">
        <f>food_insecure</f>
        <v>6.0999999999999999E-2</v>
      </c>
      <c r="G2" s="60">
        <f>food_insecure</f>
        <v>6.0999999999999999E-2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6.0999999999999999E-2</v>
      </c>
      <c r="F5" s="60">
        <f>food_insecure</f>
        <v>6.0999999999999999E-2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4.6999999999999993E-2</v>
      </c>
      <c r="D7" s="60">
        <f>diarrhoea_1_5mo*frac_diarrhea_severe</f>
        <v>4.6999999999999993E-2</v>
      </c>
      <c r="E7" s="60">
        <f>diarrhoea_6_11mo*frac_diarrhea_severe</f>
        <v>4.6999999999999993E-2</v>
      </c>
      <c r="F7" s="60">
        <f>diarrhoea_12_23mo*frac_diarrhea_severe</f>
        <v>4.6999999999999993E-2</v>
      </c>
      <c r="G7" s="60">
        <f>diarrhoea_24_59mo*frac_diarrhea_severe</f>
        <v>4.6999999999999993E-2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6.0999999999999999E-2</v>
      </c>
      <c r="F8" s="60">
        <f>food_insecure</f>
        <v>6.0999999999999999E-2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6.0999999999999999E-2</v>
      </c>
      <c r="F9" s="60">
        <f>food_insecure</f>
        <v>6.0999999999999999E-2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0.64</v>
      </c>
      <c r="E10" s="60">
        <f>IF(ISBLANK(comm_deliv), frac_children_health_facility,1)</f>
        <v>0.64</v>
      </c>
      <c r="F10" s="60">
        <f>IF(ISBLANK(comm_deliv), frac_children_health_facility,1)</f>
        <v>0.64</v>
      </c>
      <c r="G10" s="60">
        <f>IF(ISBLANK(comm_deliv), frac_children_health_facility,1)</f>
        <v>0.64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4.6999999999999993E-2</v>
      </c>
      <c r="D12" s="60">
        <f>diarrhoea_1_5mo*frac_diarrhea_severe</f>
        <v>4.6999999999999993E-2</v>
      </c>
      <c r="E12" s="60">
        <f>diarrhoea_6_11mo*frac_diarrhea_severe</f>
        <v>4.6999999999999993E-2</v>
      </c>
      <c r="F12" s="60">
        <f>diarrhoea_12_23mo*frac_diarrhea_severe</f>
        <v>4.6999999999999993E-2</v>
      </c>
      <c r="G12" s="60">
        <f>diarrhoea_24_59mo*frac_diarrhea_severe</f>
        <v>4.6999999999999993E-2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6.0999999999999999E-2</v>
      </c>
      <c r="I15" s="60">
        <f>food_insecure</f>
        <v>6.0999999999999999E-2</v>
      </c>
      <c r="J15" s="60">
        <f>food_insecure</f>
        <v>6.0999999999999999E-2</v>
      </c>
      <c r="K15" s="60">
        <f>food_insecure</f>
        <v>6.0999999999999999E-2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0.84299999999999997</v>
      </c>
      <c r="I18" s="60">
        <f>frac_PW_health_facility</f>
        <v>0.84299999999999997</v>
      </c>
      <c r="J18" s="60">
        <f>frac_PW_health_facility</f>
        <v>0.84299999999999997</v>
      </c>
      <c r="K18" s="60">
        <f>frac_PW_health_facility</f>
        <v>0.84299999999999997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1.24E-2</v>
      </c>
      <c r="I19" s="60">
        <f>frac_malaria_risk</f>
        <v>1.24E-2</v>
      </c>
      <c r="J19" s="60">
        <f>frac_malaria_risk</f>
        <v>1.24E-2</v>
      </c>
      <c r="K19" s="60">
        <f>frac_malaria_risk</f>
        <v>1.24E-2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0.48499999999999999</v>
      </c>
      <c r="M24" s="60">
        <f>famplan_unmet_need</f>
        <v>0.48499999999999999</v>
      </c>
      <c r="N24" s="60">
        <f>famplan_unmet_need</f>
        <v>0.48499999999999999</v>
      </c>
      <c r="O24" s="60">
        <f>famplan_unmet_need</f>
        <v>0.48499999999999999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0.14177433645553605</v>
      </c>
      <c r="M25" s="60">
        <f>(1-food_insecure)*(0.49)+food_insecure*(0.7)</f>
        <v>0.50280999999999998</v>
      </c>
      <c r="N25" s="60">
        <f>(1-food_insecure)*(0.49)+food_insecure*(0.7)</f>
        <v>0.50280999999999998</v>
      </c>
      <c r="O25" s="60">
        <f>(1-food_insecure)*(0.49)+food_insecure*(0.7)</f>
        <v>0.50280999999999998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6.0760429909515454E-2</v>
      </c>
      <c r="M26" s="60">
        <f>(1-food_insecure)*(0.21)+food_insecure*(0.3)</f>
        <v>0.21549000000000001</v>
      </c>
      <c r="N26" s="60">
        <f>(1-food_insecure)*(0.21)+food_insecure*(0.3)</f>
        <v>0.21549000000000001</v>
      </c>
      <c r="O26" s="60">
        <f>(1-food_insecure)*(0.21)+food_insecure*(0.3)</f>
        <v>0.21549000000000001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7.94292686691285E-2</v>
      </c>
      <c r="M27" s="60">
        <f>(1-food_insecure)*(0.3)</f>
        <v>0.28170000000000001</v>
      </c>
      <c r="N27" s="60">
        <f>(1-food_insecure)*(0.3)</f>
        <v>0.28170000000000001</v>
      </c>
      <c r="O27" s="60">
        <f>(1-food_insecure)*(0.3)</f>
        <v>0.28170000000000001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0.71803596496582001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1.24E-2</v>
      </c>
      <c r="D34" s="60">
        <f t="shared" si="3"/>
        <v>1.24E-2</v>
      </c>
      <c r="E34" s="60">
        <f t="shared" si="3"/>
        <v>1.24E-2</v>
      </c>
      <c r="F34" s="60">
        <f t="shared" si="3"/>
        <v>1.24E-2</v>
      </c>
      <c r="G34" s="60">
        <f t="shared" si="3"/>
        <v>1.24E-2</v>
      </c>
      <c r="H34" s="60">
        <f t="shared" si="3"/>
        <v>1.24E-2</v>
      </c>
      <c r="I34" s="60">
        <f t="shared" si="3"/>
        <v>1.24E-2</v>
      </c>
      <c r="J34" s="60">
        <f t="shared" si="3"/>
        <v>1.24E-2</v>
      </c>
      <c r="K34" s="60">
        <f t="shared" si="3"/>
        <v>1.24E-2</v>
      </c>
      <c r="L34" s="60">
        <f t="shared" si="3"/>
        <v>1.24E-2</v>
      </c>
      <c r="M34" s="60">
        <f t="shared" si="3"/>
        <v>1.24E-2</v>
      </c>
      <c r="N34" s="60">
        <f t="shared" si="3"/>
        <v>1.24E-2</v>
      </c>
      <c r="O34" s="60">
        <f t="shared" si="3"/>
        <v>1.24E-2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bJA2PYmWGEap9rgPrh7N5WNAJEdzICDb5VzryVDfAIWIan0nECBJLOuiDawZr08wIWBBscbr2YRo/Z9zhNahUA==" saltValue="9252viiDs4zHogsUAqMBM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gs13s9n1Oh6uEFyM5rIOHVl1OTQSVKWiiMq4H9EBUqcNcvmuv9XB6WJB0QFf+ccK2eyzrbdBcEmPmd16QkX8fA==" saltValue="JgcyeexiZHuBBBelyUytb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8FRcfL1b1cOmWCVaArFYqYhMPv1Q/gWp1jY0IvDuZjjg1qLJYBSKywortS8uaS7ZLgFaJ6cI6l/Lsd+rOCGung==" saltValue="o0WANSA9Q2duPQBSIdv0a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VrJ/eoOHZaiJCavoiqqxgIzehrtfFs0mgzJnw0U15GX1/4SST4tRw6Bg5FY+x/Ll4toBOv2AtovE73jtwClo/g==" saltValue="1zz7RJlLz+BqQl4PKLVR/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2TAW1SzBJBgNbXdxVm7PM247GGoLU6txWz/ouRSc91hlhxENFzAjkyJ9rNrdHlfQ0nyQ8V2m26QrUQHcrdgNpw==" saltValue="1UxdmOhgCutJ2Vc1AKJod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J8dVeclONzyeSecynuwIt23iFxSohle3VGFomwAHydqurLa5ia0Ga0ocaeiu1dITEnYMFHBUCMMRjEkAEIqseA==" saltValue="2WPfx+/osVvB8cCA7bXhSA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2447463.9276000001</v>
      </c>
      <c r="C2" s="49">
        <v>5039000</v>
      </c>
      <c r="D2" s="49">
        <v>9611000</v>
      </c>
      <c r="E2" s="49">
        <v>1264000</v>
      </c>
      <c r="F2" s="49">
        <v>1464000</v>
      </c>
      <c r="G2" s="17">
        <f t="shared" ref="G2:G11" si="0">C2+D2+E2+F2</f>
        <v>17378000</v>
      </c>
      <c r="H2" s="17">
        <f t="shared" ref="H2:H11" si="1">(B2 + stillbirth*B2/(1000-stillbirth))/(1-abortion)</f>
        <v>2810481.7663472444</v>
      </c>
      <c r="I2" s="17">
        <f t="shared" ref="I2:I11" si="2">G2-H2</f>
        <v>14567518.233652756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2453857.2288000002</v>
      </c>
      <c r="C3" s="50">
        <v>5089000</v>
      </c>
      <c r="D3" s="50">
        <v>9660000</v>
      </c>
      <c r="E3" s="50">
        <v>1250000</v>
      </c>
      <c r="F3" s="50">
        <v>1434000</v>
      </c>
      <c r="G3" s="17">
        <f t="shared" si="0"/>
        <v>17433000</v>
      </c>
      <c r="H3" s="17">
        <f t="shared" si="1"/>
        <v>2817823.348074655</v>
      </c>
      <c r="I3" s="17">
        <f t="shared" si="2"/>
        <v>14615176.651925344</v>
      </c>
    </row>
    <row r="4" spans="1:9" ht="15.75" customHeight="1" x14ac:dyDescent="0.2">
      <c r="A4" s="5">
        <f t="shared" si="3"/>
        <v>2023</v>
      </c>
      <c r="B4" s="49">
        <v>2459349.7612000001</v>
      </c>
      <c r="C4" s="50">
        <v>5149000</v>
      </c>
      <c r="D4" s="50">
        <v>9693000</v>
      </c>
      <c r="E4" s="50">
        <v>1236000</v>
      </c>
      <c r="F4" s="50">
        <v>1401000</v>
      </c>
      <c r="G4" s="17">
        <f t="shared" si="0"/>
        <v>17479000</v>
      </c>
      <c r="H4" s="17">
        <f t="shared" si="1"/>
        <v>2824130.5552972793</v>
      </c>
      <c r="I4" s="17">
        <f t="shared" si="2"/>
        <v>14654869.44470272</v>
      </c>
    </row>
    <row r="5" spans="1:9" ht="15.75" customHeight="1" x14ac:dyDescent="0.2">
      <c r="A5" s="5">
        <f t="shared" si="3"/>
        <v>2024</v>
      </c>
      <c r="B5" s="49">
        <v>2463902.1327999998</v>
      </c>
      <c r="C5" s="50">
        <v>5209000</v>
      </c>
      <c r="D5" s="50">
        <v>9722000</v>
      </c>
      <c r="E5" s="50">
        <v>1217000</v>
      </c>
      <c r="F5" s="50">
        <v>1370000</v>
      </c>
      <c r="G5" s="17">
        <f t="shared" si="0"/>
        <v>17518000</v>
      </c>
      <c r="H5" s="17">
        <f t="shared" si="1"/>
        <v>2829358.1532329037</v>
      </c>
      <c r="I5" s="17">
        <f t="shared" si="2"/>
        <v>14688641.846767096</v>
      </c>
    </row>
    <row r="6" spans="1:9" ht="15.75" customHeight="1" x14ac:dyDescent="0.2">
      <c r="A6" s="5">
        <f t="shared" si="3"/>
        <v>2025</v>
      </c>
      <c r="B6" s="49">
        <v>2467435.0499999998</v>
      </c>
      <c r="C6" s="50">
        <v>5265000</v>
      </c>
      <c r="D6" s="50">
        <v>9761000</v>
      </c>
      <c r="E6" s="50">
        <v>1193000</v>
      </c>
      <c r="F6" s="50">
        <v>1343000</v>
      </c>
      <c r="G6" s="17">
        <f t="shared" si="0"/>
        <v>17562000</v>
      </c>
      <c r="H6" s="17">
        <f t="shared" si="1"/>
        <v>2833415.0871311496</v>
      </c>
      <c r="I6" s="17">
        <f t="shared" si="2"/>
        <v>14728584.91286885</v>
      </c>
    </row>
    <row r="7" spans="1:9" ht="15.75" customHeight="1" x14ac:dyDescent="0.2">
      <c r="A7" s="5">
        <f t="shared" si="3"/>
        <v>2026</v>
      </c>
      <c r="B7" s="49">
        <v>2472057.7889999999</v>
      </c>
      <c r="C7" s="50">
        <v>5316000</v>
      </c>
      <c r="D7" s="50">
        <v>9814000</v>
      </c>
      <c r="E7" s="50">
        <v>1162000</v>
      </c>
      <c r="F7" s="50">
        <v>1318000</v>
      </c>
      <c r="G7" s="17">
        <f t="shared" si="0"/>
        <v>17610000</v>
      </c>
      <c r="H7" s="17">
        <f t="shared" si="1"/>
        <v>2838723.4896467375</v>
      </c>
      <c r="I7" s="17">
        <f t="shared" si="2"/>
        <v>14771276.510353263</v>
      </c>
    </row>
    <row r="8" spans="1:9" ht="15.75" customHeight="1" x14ac:dyDescent="0.2">
      <c r="A8" s="5">
        <f t="shared" si="3"/>
        <v>2027</v>
      </c>
      <c r="B8" s="49">
        <v>2475670.8480000012</v>
      </c>
      <c r="C8" s="50">
        <v>5362000</v>
      </c>
      <c r="D8" s="50">
        <v>9874000</v>
      </c>
      <c r="E8" s="50">
        <v>1125000</v>
      </c>
      <c r="F8" s="50">
        <v>1298000</v>
      </c>
      <c r="G8" s="17">
        <f t="shared" si="0"/>
        <v>17659000</v>
      </c>
      <c r="H8" s="17">
        <f t="shared" si="1"/>
        <v>2842872.4523038492</v>
      </c>
      <c r="I8" s="17">
        <f t="shared" si="2"/>
        <v>14816127.547696151</v>
      </c>
    </row>
    <row r="9" spans="1:9" ht="15.75" customHeight="1" x14ac:dyDescent="0.2">
      <c r="A9" s="5">
        <f t="shared" si="3"/>
        <v>2028</v>
      </c>
      <c r="B9" s="49">
        <v>2478303.7289999998</v>
      </c>
      <c r="C9" s="50">
        <v>5405000</v>
      </c>
      <c r="D9" s="50">
        <v>9942000</v>
      </c>
      <c r="E9" s="50">
        <v>1086000</v>
      </c>
      <c r="F9" s="50">
        <v>1281000</v>
      </c>
      <c r="G9" s="17">
        <f t="shared" si="0"/>
        <v>17714000</v>
      </c>
      <c r="H9" s="17">
        <f t="shared" si="1"/>
        <v>2845895.852959529</v>
      </c>
      <c r="I9" s="17">
        <f t="shared" si="2"/>
        <v>14868104.147040471</v>
      </c>
    </row>
    <row r="10" spans="1:9" ht="15.75" customHeight="1" x14ac:dyDescent="0.2">
      <c r="A10" s="5">
        <f t="shared" si="3"/>
        <v>2029</v>
      </c>
      <c r="B10" s="49">
        <v>2479924.92</v>
      </c>
      <c r="C10" s="50">
        <v>5446000</v>
      </c>
      <c r="D10" s="50">
        <v>10016000</v>
      </c>
      <c r="E10" s="50">
        <v>1050000</v>
      </c>
      <c r="F10" s="50">
        <v>1266000</v>
      </c>
      <c r="G10" s="17">
        <f t="shared" si="0"/>
        <v>17778000</v>
      </c>
      <c r="H10" s="17">
        <f t="shared" si="1"/>
        <v>2847757.505625329</v>
      </c>
      <c r="I10" s="17">
        <f t="shared" si="2"/>
        <v>14930242.49437467</v>
      </c>
    </row>
    <row r="11" spans="1:9" ht="15.75" customHeight="1" x14ac:dyDescent="0.2">
      <c r="A11" s="5">
        <f t="shared" si="3"/>
        <v>2030</v>
      </c>
      <c r="B11" s="49">
        <v>2480485.02</v>
      </c>
      <c r="C11" s="50">
        <v>5488000</v>
      </c>
      <c r="D11" s="50">
        <v>10096000</v>
      </c>
      <c r="E11" s="50">
        <v>1022000</v>
      </c>
      <c r="F11" s="50">
        <v>1251000</v>
      </c>
      <c r="G11" s="17">
        <f t="shared" si="0"/>
        <v>17857000</v>
      </c>
      <c r="H11" s="17">
        <f t="shared" si="1"/>
        <v>2848400.6819433044</v>
      </c>
      <c r="I11" s="17">
        <f t="shared" si="2"/>
        <v>15008599.318056695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zA+Ie2ZvhT2qe/Be8HFEqx3tk6dttx+8TeJeV98Jmf2W+fyuZDaiyww4m5bJgJ/QDWv20K1J5Tws0cxvROPUWQ==" saltValue="EGUb+Y4HIOAfDLpOvldYxw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3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4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3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4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3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4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3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4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4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3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4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4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3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4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4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3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4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4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3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4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4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3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4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4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3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4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4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3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4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4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3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4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4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3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4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4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3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4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4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3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4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4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3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4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4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3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4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4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3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4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4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3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4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4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3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4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4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3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4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4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3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4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4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3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4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4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3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4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4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3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4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4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3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4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4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3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4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4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3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4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4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3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4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4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3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4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4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3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4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4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3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4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4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3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4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4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ykVAlsNu9lAaJLPe8lr5Z9h379pVGdZe8kNN709q2YeagFdKMygXUcfF7VzBFKFahN6Jgl1cZgOCDSnF6XK+bA==" saltValue="dChNxU3I+8eLt55PhO5dC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JQQD/5sqt604a3swMQDPfLFQyYeRCcxMPUyItZYdDcpEXPYGOz39rCTm0uEUQHiCb8M6f/lAH4B5YC+/eoqIbQ==" saltValue="TgzWTLrPA8WWxeKKpbNk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+kV5D1RhB21k5I1p1BBtPYjSNxybMDkZswGol7aF7cCedRUv5dcNmirL0tY0GnQnWI/ijBMfM1voFMyZkz1suw==" saltValue="cSiuGCXqbg0QPPfZsxe8e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9h5qXAZ0hV4U0XhD7g0NHM0zr6BR1ib9jLOWjyQYWA//3fnOMWyU+Th9DctE3x07Vsf/4iSms/0KQgwMYf6EUw==" saltValue="fFiB5cX6ozPRKjSn/xUlp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6Ru/J06UFfF+kpwfDYoF+VmOGopeOK040oESqatP/8rlIqjlvhglE4LvzItr5OcsRMbiFrbPBXdFerWNgi37w==" saltValue="2hr3Tm6yG1MOxmwJPn8gx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dOMdqJiZ/2i/UuucXg6oSUorSJBa02zSWqaqatGbnytMkf+9JbMZlXAV7+GAq/VuKZ1eOrMuveJNNKJbAK8LlQ==" saltValue="ZcobqzRfcSQ6nsYTJ+DUY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7Mi2OrJb9c6f6GyyiuKyR1Ze61++/seH0/uHnBY3rgrABi0woHV6nFS86AuLZpJI2KJCML1IZJP1/ZgQxcpPJg==" saltValue="aKQvc5jYkKSutafzVH4b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bTtJt4q89c3REVDi7dK5q7/WTgy0HrfdpISTMpMTMZtF3KyKwbXDy7pGpVpIWFW951DiXoQQ2MDLCcHjP74B2Q==" saltValue="HmCJNYp5N0SolyZnodZlM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Rfl0hHaOhkKv5BLrv4vFiyM7+uza8XOB+cmTyd/0H9fLq+9VpROObCwuaEtpLwGyoSJiIAVpKFk8mIo8sO66lQ==" saltValue="/OqQuIYVzWIkhwCSs67tg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4.923517598546456E-3</v>
      </c>
    </row>
    <row r="4" spans="1:8" ht="15.75" customHeight="1" x14ac:dyDescent="0.2">
      <c r="B4" s="19" t="s">
        <v>97</v>
      </c>
      <c r="C4" s="101">
        <v>0.13264603865277511</v>
      </c>
    </row>
    <row r="5" spans="1:8" ht="15.75" customHeight="1" x14ac:dyDescent="0.2">
      <c r="B5" s="19" t="s">
        <v>95</v>
      </c>
      <c r="C5" s="101">
        <v>5.912924223676877E-2</v>
      </c>
    </row>
    <row r="6" spans="1:8" ht="15.75" customHeight="1" x14ac:dyDescent="0.2">
      <c r="B6" s="19" t="s">
        <v>91</v>
      </c>
      <c r="C6" s="101">
        <v>0.23872730575714471</v>
      </c>
    </row>
    <row r="7" spans="1:8" ht="15.75" customHeight="1" x14ac:dyDescent="0.2">
      <c r="B7" s="19" t="s">
        <v>96</v>
      </c>
      <c r="C7" s="101">
        <v>0.31029056805960381</v>
      </c>
    </row>
    <row r="8" spans="1:8" ht="15.75" customHeight="1" x14ac:dyDescent="0.2">
      <c r="B8" s="19" t="s">
        <v>98</v>
      </c>
      <c r="C8" s="101">
        <v>2.8719849386617769E-3</v>
      </c>
    </row>
    <row r="9" spans="1:8" ht="15.75" customHeight="1" x14ac:dyDescent="0.2">
      <c r="B9" s="19" t="s">
        <v>92</v>
      </c>
      <c r="C9" s="101">
        <v>0.1677799416847397</v>
      </c>
    </row>
    <row r="10" spans="1:8" ht="15.75" customHeight="1" x14ac:dyDescent="0.2">
      <c r="B10" s="19" t="s">
        <v>94</v>
      </c>
      <c r="C10" s="101">
        <v>8.3631401071759801E-2</v>
      </c>
    </row>
    <row r="11" spans="1:8" ht="15.75" customHeight="1" x14ac:dyDescent="0.2">
      <c r="B11" s="27" t="s">
        <v>60</v>
      </c>
      <c r="C11" s="48">
        <f>SUM(C3:C10)</f>
        <v>1.0000000000000002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">
      <c r="B14" s="19" t="s">
        <v>84</v>
      </c>
      <c r="C14" s="55">
        <v>0.1438234328535711</v>
      </c>
      <c r="D14" s="55">
        <v>0.1438234328535711</v>
      </c>
      <c r="E14" s="55">
        <v>0.1438234328535711</v>
      </c>
      <c r="F14" s="55">
        <v>0.1438234328535711</v>
      </c>
    </row>
    <row r="15" spans="1:8" ht="15.75" customHeight="1" x14ac:dyDescent="0.2">
      <c r="B15" s="19" t="s">
        <v>102</v>
      </c>
      <c r="C15" s="101">
        <v>0.25271327458594811</v>
      </c>
      <c r="D15" s="101">
        <v>0.25271327458594811</v>
      </c>
      <c r="E15" s="101">
        <v>0.25271327458594811</v>
      </c>
      <c r="F15" s="101">
        <v>0.25271327458594811</v>
      </c>
    </row>
    <row r="16" spans="1:8" ht="15.75" customHeight="1" x14ac:dyDescent="0.2">
      <c r="B16" s="19" t="s">
        <v>2</v>
      </c>
      <c r="C16" s="101">
        <v>2.189556552505955E-2</v>
      </c>
      <c r="D16" s="101">
        <v>2.189556552505955E-2</v>
      </c>
      <c r="E16" s="101">
        <v>2.189556552505955E-2</v>
      </c>
      <c r="F16" s="101">
        <v>2.189556552505955E-2</v>
      </c>
    </row>
    <row r="17" spans="1:8" ht="15.75" customHeight="1" x14ac:dyDescent="0.2">
      <c r="B17" s="19" t="s">
        <v>90</v>
      </c>
      <c r="C17" s="101">
        <v>1.319704838115883E-2</v>
      </c>
      <c r="D17" s="101">
        <v>1.319704838115883E-2</v>
      </c>
      <c r="E17" s="101">
        <v>1.319704838115883E-2</v>
      </c>
      <c r="F17" s="101">
        <v>1.319704838115883E-2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7.3073503660732203E-2</v>
      </c>
      <c r="D19" s="101">
        <v>7.3073503660732203E-2</v>
      </c>
      <c r="E19" s="101">
        <v>7.3073503660732203E-2</v>
      </c>
      <c r="F19" s="101">
        <v>7.3073503660732203E-2</v>
      </c>
    </row>
    <row r="20" spans="1:8" ht="15.75" customHeight="1" x14ac:dyDescent="0.2">
      <c r="B20" s="19" t="s">
        <v>79</v>
      </c>
      <c r="C20" s="101">
        <v>2.5992084346249389E-3</v>
      </c>
      <c r="D20" s="101">
        <v>2.5992084346249389E-3</v>
      </c>
      <c r="E20" s="101">
        <v>2.5992084346249389E-3</v>
      </c>
      <c r="F20" s="101">
        <v>2.5992084346249389E-3</v>
      </c>
    </row>
    <row r="21" spans="1:8" ht="15.75" customHeight="1" x14ac:dyDescent="0.2">
      <c r="B21" s="19" t="s">
        <v>88</v>
      </c>
      <c r="C21" s="101">
        <v>0.1623640860490782</v>
      </c>
      <c r="D21" s="101">
        <v>0.1623640860490782</v>
      </c>
      <c r="E21" s="101">
        <v>0.1623640860490782</v>
      </c>
      <c r="F21" s="101">
        <v>0.1623640860490782</v>
      </c>
    </row>
    <row r="22" spans="1:8" ht="15.75" customHeight="1" x14ac:dyDescent="0.2">
      <c r="B22" s="19" t="s">
        <v>99</v>
      </c>
      <c r="C22" s="101">
        <v>0.33033388050982698</v>
      </c>
      <c r="D22" s="101">
        <v>0.33033388050982698</v>
      </c>
      <c r="E22" s="101">
        <v>0.33033388050982698</v>
      </c>
      <c r="F22" s="101">
        <v>0.33033388050982698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4.4382244000000001E-2</v>
      </c>
    </row>
    <row r="27" spans="1:8" ht="15.75" customHeight="1" x14ac:dyDescent="0.2">
      <c r="B27" s="19" t="s">
        <v>89</v>
      </c>
      <c r="C27" s="101">
        <v>4.8625891999999997E-2</v>
      </c>
    </row>
    <row r="28" spans="1:8" ht="15.75" customHeight="1" x14ac:dyDescent="0.2">
      <c r="B28" s="19" t="s">
        <v>103</v>
      </c>
      <c r="C28" s="101">
        <v>0.16463160299999999</v>
      </c>
    </row>
    <row r="29" spans="1:8" ht="15.75" customHeight="1" x14ac:dyDescent="0.2">
      <c r="B29" s="19" t="s">
        <v>86</v>
      </c>
      <c r="C29" s="101">
        <v>0.203694557</v>
      </c>
    </row>
    <row r="30" spans="1:8" ht="15.75" customHeight="1" x14ac:dyDescent="0.2">
      <c r="B30" s="19" t="s">
        <v>4</v>
      </c>
      <c r="C30" s="101">
        <v>4.3418417000000001E-2</v>
      </c>
    </row>
    <row r="31" spans="1:8" ht="15.75" customHeight="1" x14ac:dyDescent="0.2">
      <c r="B31" s="19" t="s">
        <v>80</v>
      </c>
      <c r="C31" s="101">
        <v>9.7613213000000004E-2</v>
      </c>
    </row>
    <row r="32" spans="1:8" ht="15.75" customHeight="1" x14ac:dyDescent="0.2">
      <c r="B32" s="19" t="s">
        <v>85</v>
      </c>
      <c r="C32" s="101">
        <v>4.3273035999999987E-2</v>
      </c>
    </row>
    <row r="33" spans="2:3" ht="15.75" customHeight="1" x14ac:dyDescent="0.2">
      <c r="B33" s="19" t="s">
        <v>100</v>
      </c>
      <c r="C33" s="101">
        <v>0.24136084799999999</v>
      </c>
    </row>
    <row r="34" spans="2:3" ht="15.75" customHeight="1" x14ac:dyDescent="0.2">
      <c r="B34" s="19" t="s">
        <v>87</v>
      </c>
      <c r="C34" s="101">
        <v>0.11300019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DCmmVfvdsQwezA0liqaUojroYp8zO3fbrv9kEDeGs2v3CHFCtLWLJPTbyeNmGxDGOy9BwMq5GLNzqXoIJyrLyw==" saltValue="bnUsKrR86Uk4Y2xr/+gAP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0.57739072741853559</v>
      </c>
      <c r="D2" s="52">
        <f>IFERROR(1-_xlfn.NORM.DIST(_xlfn.NORM.INV(SUM(D4:D5), 0, 1) + 1, 0, 1, TRUE), "")</f>
        <v>0.57739072741853559</v>
      </c>
      <c r="E2" s="52">
        <f>IFERROR(1-_xlfn.NORM.DIST(_xlfn.NORM.INV(SUM(E4:E5), 0, 1) + 1, 0, 1, TRUE), "")</f>
        <v>0.52845109881480812</v>
      </c>
      <c r="F2" s="52">
        <f>IFERROR(1-_xlfn.NORM.DIST(_xlfn.NORM.INV(SUM(F4:F5), 0, 1) + 1, 0, 1, TRUE), "")</f>
        <v>0.34155494177310863</v>
      </c>
      <c r="G2" s="52">
        <f>IFERROR(1-_xlfn.NORM.DIST(_xlfn.NORM.INV(SUM(G4:G5), 0, 1) + 1, 0, 1, TRUE), "")</f>
        <v>0.21840338199661558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0.30660927258146442</v>
      </c>
      <c r="D3" s="52">
        <f>IFERROR(_xlfn.NORM.DIST(_xlfn.NORM.INV(SUM(D4:D5), 0, 1) + 1, 0, 1, TRUE) - SUM(D4:D5), "")</f>
        <v>0.30660927258146442</v>
      </c>
      <c r="E3" s="52">
        <f>IFERROR(_xlfn.NORM.DIST(_xlfn.NORM.INV(SUM(E4:E5), 0, 1) + 1, 0, 1, TRUE) - SUM(E4:E5), "")</f>
        <v>0.32954890118519187</v>
      </c>
      <c r="F3" s="52">
        <f>IFERROR(_xlfn.NORM.DIST(_xlfn.NORM.INV(SUM(F4:F5), 0, 1) + 1, 0, 1, TRUE) - SUM(F4:F5), "")</f>
        <v>0.38144505822689134</v>
      </c>
      <c r="G3" s="52">
        <f>IFERROR(_xlfn.NORM.DIST(_xlfn.NORM.INV(SUM(G4:G5), 0, 1) + 1, 0, 1, TRUE) - SUM(G4:G5), "")</f>
        <v>0.36959661800338439</v>
      </c>
    </row>
    <row r="4" spans="1:15" ht="15.75" customHeight="1" x14ac:dyDescent="0.2">
      <c r="B4" s="5" t="s">
        <v>110</v>
      </c>
      <c r="C4" s="45">
        <v>8.1000000000000003E-2</v>
      </c>
      <c r="D4" s="53">
        <v>8.1000000000000003E-2</v>
      </c>
      <c r="E4" s="53">
        <v>0.111</v>
      </c>
      <c r="F4" s="53">
        <v>0.188</v>
      </c>
      <c r="G4" s="53">
        <v>0.27600000000000002</v>
      </c>
    </row>
    <row r="5" spans="1:15" ht="15.75" customHeight="1" x14ac:dyDescent="0.2">
      <c r="B5" s="5" t="s">
        <v>106</v>
      </c>
      <c r="C5" s="45">
        <v>3.5000000000000003E-2</v>
      </c>
      <c r="D5" s="53">
        <v>3.5000000000000003E-2</v>
      </c>
      <c r="E5" s="53">
        <v>3.1E-2</v>
      </c>
      <c r="F5" s="53">
        <v>8.900000000000001E-2</v>
      </c>
      <c r="G5" s="53">
        <v>0.13600000000000001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0.56945499406847766</v>
      </c>
      <c r="D8" s="52">
        <f>IFERROR(1-_xlfn.NORM.DIST(_xlfn.NORM.INV(SUM(D10:D11), 0, 1) + 1, 0, 1, TRUE), "")</f>
        <v>0.56945499406847766</v>
      </c>
      <c r="E8" s="52">
        <f>IFERROR(1-_xlfn.NORM.DIST(_xlfn.NORM.INV(SUM(E10:E11), 0, 1) + 1, 0, 1, TRUE), "")</f>
        <v>0.57739072741853559</v>
      </c>
      <c r="F8" s="52">
        <f>IFERROR(1-_xlfn.NORM.DIST(_xlfn.NORM.INV(SUM(F10:F11), 0, 1) + 1, 0, 1, TRUE), "")</f>
        <v>0.6241955901533508</v>
      </c>
      <c r="G8" s="52">
        <f>IFERROR(1-_xlfn.NORM.DIST(_xlfn.NORM.INV(SUM(G10:G11), 0, 1) + 1, 0, 1, TRUE), "")</f>
        <v>0.75991942487966924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0.3105450059315224</v>
      </c>
      <c r="D9" s="52">
        <f>IFERROR(_xlfn.NORM.DIST(_xlfn.NORM.INV(SUM(D10:D11), 0, 1) + 1, 0, 1, TRUE) - SUM(D10:D11), "")</f>
        <v>0.3105450059315224</v>
      </c>
      <c r="E9" s="52">
        <f>IFERROR(_xlfn.NORM.DIST(_xlfn.NORM.INV(SUM(E10:E11), 0, 1) + 1, 0, 1, TRUE) - SUM(E10:E11), "")</f>
        <v>0.30660927258146442</v>
      </c>
      <c r="F9" s="52">
        <f>IFERROR(_xlfn.NORM.DIST(_xlfn.NORM.INV(SUM(F10:F11), 0, 1) + 1, 0, 1, TRUE) - SUM(F10:F11), "")</f>
        <v>0.28180440984664923</v>
      </c>
      <c r="G9" s="52">
        <f>IFERROR(_xlfn.NORM.DIST(_xlfn.NORM.INV(SUM(G10:G11), 0, 1) + 1, 0, 1, TRUE) - SUM(G10:G11), "")</f>
        <v>0.19608057512033072</v>
      </c>
    </row>
    <row r="10" spans="1:15" ht="15.75" customHeight="1" x14ac:dyDescent="0.2">
      <c r="B10" s="5" t="s">
        <v>107</v>
      </c>
      <c r="C10" s="45">
        <v>6.7000000000000004E-2</v>
      </c>
      <c r="D10" s="53">
        <v>6.7000000000000004E-2</v>
      </c>
      <c r="E10" s="53">
        <v>0.08</v>
      </c>
      <c r="F10" s="53">
        <v>6.8000000000000005E-2</v>
      </c>
      <c r="G10" s="53">
        <v>3.3000000000000002E-2</v>
      </c>
    </row>
    <row r="11" spans="1:15" ht="15.75" customHeight="1" x14ac:dyDescent="0.2">
      <c r="B11" s="5" t="s">
        <v>119</v>
      </c>
      <c r="C11" s="45">
        <v>5.2999999999999999E-2</v>
      </c>
      <c r="D11" s="53">
        <v>5.2999999999999999E-2</v>
      </c>
      <c r="E11" s="53">
        <v>3.5999999999999997E-2</v>
      </c>
      <c r="F11" s="53">
        <v>2.5999999999999999E-2</v>
      </c>
      <c r="G11" s="53">
        <v>1.0999999999999999E-2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0.69556121950000005</v>
      </c>
      <c r="D14" s="54">
        <v>0.675081075162</v>
      </c>
      <c r="E14" s="54">
        <v>0.675081075162</v>
      </c>
      <c r="F14" s="54">
        <v>0.28962774625999999</v>
      </c>
      <c r="G14" s="54">
        <v>0.28962774625999999</v>
      </c>
      <c r="H14" s="45">
        <v>0.30299999999999999</v>
      </c>
      <c r="I14" s="55">
        <v>0.30299999999999999</v>
      </c>
      <c r="J14" s="55">
        <v>0.30299999999999999</v>
      </c>
      <c r="K14" s="55">
        <v>0.30299999999999999</v>
      </c>
      <c r="L14" s="45">
        <v>0.14899999999999999</v>
      </c>
      <c r="M14" s="55">
        <v>0.14899999999999999</v>
      </c>
      <c r="N14" s="55">
        <v>0.14899999999999999</v>
      </c>
      <c r="O14" s="55">
        <v>0.14899999999999999</v>
      </c>
    </row>
    <row r="15" spans="1:15" ht="15.75" customHeight="1" x14ac:dyDescent="0.2">
      <c r="B15" s="11" t="s">
        <v>118</v>
      </c>
      <c r="C15" s="52">
        <f t="shared" ref="C15:O15" si="0">iron_deficiency_anaemia*C14</f>
        <v>0.36787050445281855</v>
      </c>
      <c r="D15" s="52">
        <f t="shared" si="0"/>
        <v>0.35703890427490403</v>
      </c>
      <c r="E15" s="52">
        <f t="shared" si="0"/>
        <v>0.35703890427490403</v>
      </c>
      <c r="F15" s="52">
        <f t="shared" si="0"/>
        <v>0.15317919132522756</v>
      </c>
      <c r="G15" s="52">
        <f t="shared" si="0"/>
        <v>0.15317919132522756</v>
      </c>
      <c r="H15" s="52">
        <f t="shared" si="0"/>
        <v>0.16025154899999999</v>
      </c>
      <c r="I15" s="52">
        <f t="shared" si="0"/>
        <v>0.16025154899999999</v>
      </c>
      <c r="J15" s="52">
        <f t="shared" si="0"/>
        <v>0.16025154899999999</v>
      </c>
      <c r="K15" s="52">
        <f t="shared" si="0"/>
        <v>0.16025154899999999</v>
      </c>
      <c r="L15" s="52">
        <f t="shared" si="0"/>
        <v>7.8803566999999991E-2</v>
      </c>
      <c r="M15" s="52">
        <f t="shared" si="0"/>
        <v>7.8803566999999991E-2</v>
      </c>
      <c r="N15" s="52">
        <f t="shared" si="0"/>
        <v>7.8803566999999991E-2</v>
      </c>
      <c r="O15" s="52">
        <f t="shared" si="0"/>
        <v>7.8803566999999991E-2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7o54fPF9X8uSzb5a1KBXPL/S0ntx10b9otJi4Yr4tlKrUPVl4EXMcTgmds+T5swogOf089hsl7ryi9rwTerWsA==" saltValue="aLI2rvexQtMQpFomBwgv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0.49628427624702398</v>
      </c>
      <c r="D2" s="53">
        <v>0.31777070000000002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0.17591752111911799</v>
      </c>
      <c r="D3" s="53">
        <v>0.19311990000000001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0.24337454140186299</v>
      </c>
      <c r="D4" s="53">
        <v>0.31273339999999999</v>
      </c>
      <c r="E4" s="53">
        <v>0.73519980907440197</v>
      </c>
      <c r="F4" s="53">
        <v>0.595922291278839</v>
      </c>
      <c r="G4" s="53">
        <v>0</v>
      </c>
    </row>
    <row r="5" spans="1:7" x14ac:dyDescent="0.2">
      <c r="B5" s="3" t="s">
        <v>125</v>
      </c>
      <c r="C5" s="52">
        <v>8.4423676133155809E-2</v>
      </c>
      <c r="D5" s="52">
        <v>0.17637592554092399</v>
      </c>
      <c r="E5" s="52">
        <f>1-SUM(E2:E4)</f>
        <v>0.26480019092559803</v>
      </c>
      <c r="F5" s="52">
        <f>1-SUM(F2:F4)</f>
        <v>0.404077708721161</v>
      </c>
      <c r="G5" s="52">
        <f>1-SUM(G2:G4)</f>
        <v>1</v>
      </c>
    </row>
  </sheetData>
  <sheetProtection algorithmName="SHA-512" hashValue="Ya5SV15qS5m9vtYx/O6vta/Wpwk6S1rNxrUIVjAvGijsZYcX0bS2vqrgRGouEaRkvApjVw0Ux9AW/iu0WeWcFA==" saltValue="2ymDyJmZ5XZRRihPK9CcgQ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eB/wel0Au/09uMAHGL7XSF8/O+R/u22qItj0HKQFH5ljsC4mr0gm6tFoCkjh4ukU+fvOhp21qT7UycCXNZBwA==" saltValue="kBGNlne8ApeyXbwm/jeyM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1OkJgPFba/ISVJ45LkKrJucEoNVvZvV8s4iCQ/94+hzeoG1p9To7MjMV6weCbE6CgMhgGSFG1GcI8aDnBWmclA==" saltValue="lrTxnV//EJXuEu/i/Eec+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ase5dwxrN8ZUCzcBQ2cl2BxSMzZ54ohmjKIsydsN40ZnUz2GUArci1vUCMjhR34Hht5oK/UePY+G77dezbOkJg==" saltValue="hJQM7g1Uy24KgMlhliBIA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xl7R+Nxv/lJ2neGaO9mb4U89agAwFGMvaMVEMNx0g2eY2YE52qssFbzQarMTJyK4JxG1FCCfwT+EMutxKio6PA==" saltValue="o0XKXzib4MOP0tc2HwIMl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2023-01-27T02:45:57Z</dcterms:modified>
</cp:coreProperties>
</file>